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Livraison\Etats\"/>
    </mc:Choice>
  </mc:AlternateContent>
  <bookViews>
    <workbookView xWindow="0" yWindow="0" windowWidth="24000" windowHeight="9510"/>
  </bookViews>
  <sheets>
    <sheet name="Prise en Main" sheetId="29" r:id="rId1"/>
    <sheet name="Tableau de bord" sheetId="25" r:id="rId2"/>
    <sheet name="DAP Annuelles" sheetId="3" r:id="rId3"/>
    <sheet name="Fiche Immobilisation" sheetId="5" r:id="rId4"/>
    <sheet name="Dot._Rep. Amort Dérog Annuels" sheetId="6" r:id="rId5"/>
    <sheet name="RIK_PARAMS" sheetId="33" state="veryHidden" r:id="rId6"/>
  </sheets>
  <externalReferences>
    <externalReference r:id="rId7"/>
    <externalReference r:id="rId8"/>
  </externalReferences>
  <definedNames>
    <definedName name="ANNEEN">[1]Feuil2!$A$16:$A$28</definedName>
    <definedName name="HTML_CodePage" hidden="1">1252</definedName>
    <definedName name="HTML_Control" localSheetId="0" hidden="1">{"'Soldes de Gestion'!$C$10:$F$30"}</definedName>
    <definedName name="HTML_Control" localSheetId="1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2">'DAP Annuelles'!$1:$8</definedName>
    <definedName name="_xlnm.Print_Titles" localSheetId="4">'Dot._Rep. Amort Dérog Annuels'!$1:$8</definedName>
    <definedName name="k">#REF!</definedName>
    <definedName name="Mois">[1]Feuil2!$A$1:$A$12</definedName>
    <definedName name="Zone_collage">[2]Démarrage!$G$8:$H$10,[2]Démarrage!$G$13:$H$18,[2]Démarrage!$G$20:$H$23,[2]Démarrage!$G$25:$H$28,[2]Démarrage!$L$8:$M$10,[2]Démarrage!$L$13:$M$18,[2]Démarrage!$L$20:$M$23,[2]Démarrage!$L$25:$M$28</definedName>
    <definedName name="_xlnm.Print_Area" localSheetId="1">'Tableau de bord'!$A$1:$Q$38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F17" i="6"/>
  <c r="F18" i="6"/>
  <c r="F19" i="6"/>
  <c r="F20" i="6"/>
  <c r="F22" i="6"/>
  <c r="F23" i="6"/>
  <c r="F24" i="6"/>
  <c r="F25" i="6"/>
  <c r="F26" i="6"/>
  <c r="F27" i="6"/>
  <c r="F28" i="6"/>
  <c r="F29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48" i="6"/>
  <c r="F49" i="6"/>
  <c r="F50" i="6"/>
  <c r="F51" i="6"/>
  <c r="F52" i="6"/>
  <c r="A2" i="6"/>
  <c r="A2" i="3"/>
  <c r="M6" i="25"/>
  <c r="K6" i="25"/>
  <c r="C6" i="25"/>
  <c r="A6" i="25"/>
  <c r="AA2" i="25"/>
  <c r="Z2" i="25"/>
  <c r="R1" i="25"/>
  <c r="S1" i="25" s="1"/>
  <c r="T1" i="25" s="1"/>
  <c r="A7" i="6"/>
  <c r="J12" i="5"/>
  <c r="G10" i="5"/>
  <c r="G6" i="5"/>
  <c r="G3" i="5"/>
  <c r="J11" i="5"/>
  <c r="G9" i="5"/>
  <c r="G4" i="5"/>
  <c r="G11" i="5"/>
  <c r="A7" i="5"/>
  <c r="A4" i="5"/>
  <c r="G12" i="5"/>
  <c r="J9" i="5"/>
  <c r="G5" i="5"/>
  <c r="A7" i="3"/>
  <c r="I10" i="25"/>
  <c r="I7" i="25"/>
  <c r="A10" i="25"/>
  <c r="C7" i="25"/>
  <c r="M7" i="25"/>
  <c r="A7" i="25"/>
  <c r="K7" i="25"/>
</calcChain>
</file>

<file path=xl/comments1.xml><?xml version="1.0" encoding="utf-8"?>
<comments xmlns="http://schemas.openxmlformats.org/spreadsheetml/2006/main">
  <authors>
    <author>Elodie CORMAND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>
  <authors>
    <author>Elodie CORMAND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>
  <authors>
    <author>Emmanuel PICOT</author>
    <author>Elodie CORMAND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>
  <authors>
    <author>Elodie CORMAND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<sst xmlns="http://schemas.openxmlformats.org/spreadsheetml/2006/main" count="167" uniqueCount="115">
  <si>
    <t>Total</t>
  </si>
  <si>
    <t>VNC début Plan</t>
  </si>
  <si>
    <t>VNC Fin Plan</t>
  </si>
  <si>
    <t>Economique</t>
  </si>
  <si>
    <t>Dotation Plan</t>
  </si>
  <si>
    <t>2013</t>
  </si>
  <si>
    <t>Société Nom :</t>
  </si>
  <si>
    <t>Plan Amortissement :</t>
  </si>
  <si>
    <t>Année :</t>
  </si>
  <si>
    <t>00001 Bureaux commerciaux</t>
  </si>
  <si>
    <t>00018 Entrepôt de stockage</t>
  </si>
  <si>
    <t>000230 Atelier fabrication Or</t>
  </si>
  <si>
    <t>000231 Toiture Atelier Or</t>
  </si>
  <si>
    <t>000232 Aménagt. internes Atelier Or</t>
  </si>
  <si>
    <t>000233 Climatisation Atelier Or</t>
  </si>
  <si>
    <t>000240 Atelier fabrication Argent</t>
  </si>
  <si>
    <t>000241 Toiture Atelier Argent</t>
  </si>
  <si>
    <t>000242 Aménagt. internes Atelier Argent</t>
  </si>
  <si>
    <t>000243 Climatisation Atelier Argent</t>
  </si>
  <si>
    <t>00003 Machine outils</t>
  </si>
  <si>
    <t>00007 Fraisseuses</t>
  </si>
  <si>
    <t>00014 Moteur rechange machine outil 00003</t>
  </si>
  <si>
    <t>00015 Pompes hydraulique</t>
  </si>
  <si>
    <t>00008 Fax</t>
  </si>
  <si>
    <t>00013 Téléphones</t>
  </si>
  <si>
    <t>00002 Etagères</t>
  </si>
  <si>
    <t xml:space="preserve">00004 Bureaux </t>
  </si>
  <si>
    <t>00011 Fauteuils</t>
  </si>
  <si>
    <t>Valeur Acquisition</t>
  </si>
  <si>
    <t>Devise : €</t>
  </si>
  <si>
    <t>Bien Code-Intitulé</t>
  </si>
  <si>
    <t>Critères de filtres :</t>
  </si>
  <si>
    <t>Famille Constructions</t>
  </si>
  <si>
    <t>Famille Installations Techniques</t>
  </si>
  <si>
    <t>Famille Matériel de bureau et informatique</t>
  </si>
  <si>
    <t>Famille Mobilier</t>
  </si>
  <si>
    <t>Année Plan</t>
  </si>
  <si>
    <t>*</t>
  </si>
  <si>
    <t>2017</t>
  </si>
  <si>
    <t>2011</t>
  </si>
  <si>
    <t>00009 Fourgonnette Jumper</t>
  </si>
  <si>
    <t>00010 Renault Kangoo</t>
  </si>
  <si>
    <t>00017 Citroen C6</t>
  </si>
  <si>
    <t>00019 Serveur  Microgiga T1000</t>
  </si>
  <si>
    <t>00020 Presse hydraulique</t>
  </si>
  <si>
    <t>00021 Camion G 420</t>
  </si>
  <si>
    <t>Société</t>
  </si>
  <si>
    <t>Date d'acquistion</t>
  </si>
  <si>
    <t>Durée d'amortissement Eco.</t>
  </si>
  <si>
    <t>Amort. Fiscal</t>
  </si>
  <si>
    <t>Amort. Economique</t>
  </si>
  <si>
    <t>Amort. Dérogatoire</t>
  </si>
  <si>
    <t>Intitulé Famille Constructions</t>
  </si>
  <si>
    <t>Intitulé Famille Installations Techniques</t>
  </si>
  <si>
    <t>Intitulé Famille Mobilier</t>
  </si>
  <si>
    <t>Dotation/Reprise Amort. Dérogatoire</t>
  </si>
  <si>
    <t>Famille Véhicules de tourisme</t>
  </si>
  <si>
    <t>Famille Véhicules utilitaires</t>
  </si>
  <si>
    <t>Localisation</t>
  </si>
  <si>
    <t>Code Bien</t>
  </si>
  <si>
    <t>Date de mise en service</t>
  </si>
  <si>
    <t>Fiche immobilisation</t>
  </si>
  <si>
    <t xml:space="preserve">Type d'acquisition </t>
  </si>
  <si>
    <t xml:space="preserve">Valeur d'acquisition </t>
  </si>
  <si>
    <t>Date de sortie</t>
  </si>
  <si>
    <t>Type sortie</t>
  </si>
  <si>
    <t>Données financières acquisition</t>
  </si>
  <si>
    <t>Données financières sortie</t>
  </si>
  <si>
    <t>Quantité</t>
  </si>
  <si>
    <t>Valeur de cession</t>
  </si>
  <si>
    <t>Tableau de bord des IMMOBILISATIONS</t>
  </si>
  <si>
    <t>Société :</t>
  </si>
  <si>
    <t>Période Entrées/sorties</t>
  </si>
  <si>
    <t>Période graphique</t>
  </si>
  <si>
    <t>Données Financières</t>
  </si>
  <si>
    <t>Données Physiques</t>
  </si>
  <si>
    <t>Nbre de biens actifs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</si>
  <si>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</si>
  <si>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</si>
  <si>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</si>
  <si>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</si>
  <si>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</si>
  <si>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 xml:space="preserve">000250 Four </t>
  </si>
  <si>
    <t>000251 Revêtement intérieur four</t>
  </si>
  <si>
    <t>00022 Imprimante laser</t>
  </si>
  <si>
    <t>Intitulé Famille Matériel de bureau et informatique</t>
  </si>
  <si>
    <t>00023 Renault Laguna 2</t>
  </si>
  <si>
    <t>00024 Citroen DS 4</t>
  </si>
  <si>
    <t>00025 BMW I3</t>
  </si>
  <si>
    <t>Intitulé Famille Véhicules de tourisme</t>
  </si>
  <si>
    <t>Intitulé Famille Véhicules utilitaires</t>
  </si>
  <si>
    <t>Entrepôts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</si>
  <si>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</si>
  <si>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</si>
  <si>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</si>
  <si>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</si>
  <si>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</si>
  <si>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</si>
  <si>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</si>
  <si>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</si>
  <si>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</si>
  <si>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</si>
  <si>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</si>
  <si>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</si>
  <si>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</si>
  <si>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</si>
  <si>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</si>
  <si>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</si>
  <si>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</si>
  <si>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</si>
  <si>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</si>
  <si>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{_x000D_
  "Name": "CacheManager_Fiche Immobilisation",_x000D_
  "Column": 2,_x000D_
  "Length": 1,_x000D_
  "IsEncrypted": false_x000D_
}</t>
  </si>
  <si>
    <t>{_x000D_
  "Name": "CacheManager_Tableau de bord",_x000D_
  "Column": 3,_x000D_
  "Length": 1,_x000D_
  "IsEncrypted": false_x000D_
}</t>
  </si>
  <si>
    <t>{_x000D_
  "Formulas": {_x000D_
    "=RIK_AC(\"INF36__;INF02@E=1,S=89,G=0,T=0,P=0:@R=A,S=8,V={0}:\";$B$4)": 1,_x000D_
    "=RIK_AC(\"INF36__;INF02@E=1,S=10,G=0,T=0,P=0:@R=A,S=8,V={0}:\";$B4)": 2,_x000D_
    "=RIK_AC(\"INF36__;INF02@E=0,S=11,G=0,T=0,P=0:@R=A,S=8,V={0}:\";$B$4)": 3,_x000D_
    "=RIK_AC(\"INF36__;INF02@E=1,S=97,G=0,T=0,P=0:@R=A,S=8,V={0}:\";$B$4)": 4,_x000D_
    "=RIK_AC(\"INF36__;INF02@E=0,S=100,G=0,T=0,P=0:@R=A,S=8,V={0}:\";$B$4)": 5,_x000D_
    "=RIK_AC(\"INF36__;INF02@E=0,S=12,G=0,T=0,P=0:@R=A,S=8,V={0}:\";$B4)": 6,_x000D_
    "=RIK_AC(\"INF36__;INF02@E=0,S=21,G=0,T=0,P=0:@R=A,S=8,V={0}:\";$B$4)": 7,_x000D_
    "=RIK_AC(\"INF36__;INF02@E=0,S=87,G=0,T=0,P=0:@R=A,S=8,V={0}:\";$B$4)": 8,_x000D_
    "=RIK_AC(\"INF36__;INF02@E=0,S=27,G=0,T=0,P=0:@R=A,S=8,V={0}:\";$B$4)": 9,_x000D_
    "=RIK_AC(\"INF36__;INF02@E=0,S=6,G=0,T=0,P=0:@R=A,S=8,V={0}:\";$B$4)": 10,_x000D_
    "=RIK_AC(\"INF36__;INF02@E=1,S=13,G=0,T=0,P=0:@R=A,S=8,V={0}:\";$B$4)": 11_x000D_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"2017-10-27T12:37:05.8066424+02:00",_x000D_
          "LastRefreshDate": "2017-10-27T12:50:25.0137712+02:00",_x000D_
          "TotalRefreshCount": 4,_x000D_
          "CustomInfo": {}_x000D_
        }_x000D_
      },_x000D_
      "2": {_x000D_
        "$type": "Inside.Core.Formula.Definition.DefinitionAC, Inside.Core.Formula",_x000D_
        "ID": 2,_x000D_
        "Results": [_x000D_
          [_x000D_
            4000000.0_x000D_
          ]_x000D_
        ],_x000D_
        "Statistics": {_x000D_
          "CreationDate": "2017-10-27T12:37:05.8901069+02:00",_x000D_
          "LastRefreshDate": "2017-10-27T12:50:25.0637176+02:00",_x000D_
          "TotalRefreshCount": 4,_x000D_
          "CustomInfo": {}_x000D_
        }_x000D_
      },_x000D_
      "3": {_x000D_
        "$type": "Inside.Core.Formula.Definition.DefinitionAC, Inside.Core.Formula",_x000D_
        "ID": 3,_x000D_
        "Results": [_x000D_
          [_x000D_
            "1993-09-21T00:00:00"_x000D_
          ]_x000D_
        ],_x000D_
        "Statistics": {_x000D_
          "CreationDate": "2017-10-27T12:37:05.9067627+02:00",_x000D_
          "LastRefreshDate": "2017-10-27T12:50:25.0981203+02:00",_x000D_
          "TotalRefreshCount": 4,_x000D_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"2017-10-27T12:37:05.9400564+02:00",_x000D_
          "LastRefreshDate": "2017-10-27T12:50:25.0304273+02:00",_x000D_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"Neuf"_x000D_
          ]_x000D_
        ],_x000D_
        "Statistics": {_x000D_
          "CreationDate": "2017-10-27T12:37:05.9582159+02:00",_x000D_
          "LastRefreshDate": "2017-10-27T12:50:25.0637176+02:00",_x000D_
          "TotalRefreshCount": 4,_x000D_
          "CustomInfo": {}_x000D_
        }_x000D_
      },_x000D_
      "6": {_x000D_
        "$type": "Inside.Core.Formula.Definition.DefinitionAC, Inside.Core.Formula",_x000D_
        "ID": 6,_x000D_
        "Results": [_x000D_
          [_x000D_
            "1993-09-21T00:00:00"_x000D_
          ]_x000D_
        ],_x000D_
        "Statistics": {_x000D_
          "CreationDate": "2017-10-27T12:37:05.9677056+02:00",_x000D_
          "LastRefreshDate": "2017-10-27T12:50:25.107248+02:00",_x000D_
          "TotalRefreshCount": 4,_x000D_
          "CustomInfo": {}_x000D_
        }_x000D_
      },_x000D_
      "7": {_x000D_
        "$type": "Inside.Core.Formula.Definition.DefinitionAC, Inside.Core.Formula",_x000D_
        "ID": 7,_x000D_
        "Results": [_x000D_
          [_x000D_
            20_x000D_
          ]_x000D_
        ],_x000D_
        "Statistics": {_x000D_
          "CreationDate": "2017-10-27T12:37:05.9732061+02:00",_x000D_
          "LastRefreshDate": "2017-10-27T12:50:25.0304273+02:00",_x000D_
          "TotalRefreshCount": 4,_x000D_
          "CustomInfo": {}_x000D_
        }_x000D_
      },_x000D_
      "8": {_x000D_
        "$type": "Inside.Core.Formula.Definition.DefinitionAC, Inside.Core.Formula",_x000D_
        "ID": 8,_x000D_
        "Results": [_x000D_
          [_x000D_
            ""_x000D_
          ]_x000D_
        ],_x000D_
        "Statistics": {_x000D_
          "CreationDate": "2017-10-27T12:37:05.9893414+02:00",_x000D_
          "LastRefreshDate": "2017-10-27T12:50:25.0878597+02:00",_x000D_
          "TotalRefreshCount": 4,_x000D_
          "CustomInfo": {}_x000D_
        }_x000D_
      },_x000D_
      "9": {_x000D_
        "$type": "Inside.Core.Formula.Definition.DefinitionAC, Inside.Core.Formula",_x000D_
        "ID": 9,_x000D_
        "Results": [_x000D_
          [_x000D_
            "Entrepôt"_x000D_
          ]_x000D_
        ],_x000D_
        "Statistics": {_x000D_
          "CreationDate": "2017-10-27T12:37:06.006398+02:00",_x000D_
          "LastRefreshDate": "2017-10-27T12:50:25.1261437+02:00",_x000D_
          "TotalRefreshCount": 4,_x000D_
          "CustomInfo": {}_x000D_
        }_x000D_
      },_x000D_
      "10": {_x000D_
        "$type": "Inside.Core.Formula.Definition.DefinitionAC, Inside.Core.Formula",_x000D_
        "ID": 10,_x000D_
        "Results": [_x000D_
          [_x000D_
            "00006"_x000D_
          ]_x000D_
        ],_x000D_
        "Statistics": {_x000D_
          "CreationDate": "2017-10-27T12:37:06.0225539+02:00",_x000D_
          "LastRefreshDate": "2017-10-27T12:50:25.1336643+02:00",_x000D_
          "TotalRefreshCount": 4,_x000D_
          "CustomInfo": {}_x000D_
        }_x000D_
      },_x000D_
      "11": {_x000D_
        "$type": "Inside.Core.Formula.Definition.DefinitionAC, Inside.Core.Formula",_x000D_
        "ID": 11,_x000D_
        "Results": [_x000D_
          [_x000D_
            2.0_x000D_
          ]_x000D_
        ],_x000D_
        "Statistics": {_x000D_
          "CreationDate": "2017-10-27T12:37:06.0505524+02:00",_x000D_
          "LastRefreshDate": "2017-10-27T12:50:25.0470804+02:00",_x000D_
          "TotalRefreshCount": 4,_x000D_
          "CustomInfo": {}_x000D_
        }_x000D_
      }_x000D_
    },_x000D_
    "LastID": 11_x000D_
  }_x000D_
}</t>
  </si>
  <si>
    <t>{_x000D_
  "Formulas": {_x000D_
    "=RIK_AC(\"INF36__;INF01@E=8,S=6,G=0,T=0,P=0:@R=A,S=70,V={0}:R=B,S=84,V={1}:\";$G$1;$Z$2)": 1,_x000D_
    "=RIK_AC(\"INF36__;INF02@E=1,S=80,G=0,T=0,P=0:@R=D,S=83,V=OUI:R=A,S=71,V={0}:R=B,S=81,V={1}:R=C,S=86,V={2}:\";$K$1;$M$1;$G$1)": 2,_x000D_
    "=RIK_AC(\"INF36__;INF01@E=8,S=6,G=0,T=0,P=0:@R=A,S=70,V={0}:R=B,S=73,V=&lt;NULL&gt;:R=C,S=84,V={1}:\";$G$1;$T$1)": 3,_x000D_
    "=RIK_AC(\"INF36__;INF02@E=1,S=77,G=0,T=0,P=0:@R=D,S=83,V=OUI:R=A,S=71,V={0}:R=B,S=81,V={1}:R=C,S=86,V={2}:\";$K$1;$M$1;$G$1)": 4,_x000D_
    "=RIK_AC(\"INF36__;INF01@E=8,S=6,G=0,T=0,P=0:@R=A,S=70,V={0}:R=B,S=73,V={1}:\";$G$1;$Z$2)": 5,_x000D_
    "=RIK_AC(\"INF36__;INF01@E=8,S=6,G=0,T=0,P=0:@R=A,S=70,V={0}:R=B,S=84,V={1}:R=C,S=69,V=OUI:\";$G$1;$Z$2)": 6,_x000D_
    "=RIK_AC(\"INF36__;INF01@E=8,S=6,G=0,T=0,P=0:@R=A,S=70,V={0}:R=B,S=73,V={1}:R=C,S=69,V=OUI:\";$G$1;$Z$2)": 7,_x000D_
    "=RIK_AC(\"INF36__;INF02@E=1,S=80,G=0,T=0,P=0:@R=A,S=83,V=OUI:R=B,S=71,V={0}:R=C,S=81,V={1}:R=D,S=86,V={2}:\";$K$1;$M$1;$G$1)": 8,_x000D_
    "=RIK_AC(\"INF36__;INF02@E=1,S=77,G=0,T=0,P=0:@R=A,S=83,V=OUI:R=B,S=71,V={0}:R=C,S=81,V={1}:R=D,S=86,V={2}:\";$K$1;$M$1;$G$1)": 9_x000D_
  },_x000D_
  "ItemPool": {_x000D_
    "Items": {_x000D_
      "1": {_x000D_
        "$type": "Inside.Core.Formula.Definition.DefinitionAC, Inside.Core.Formula",_x000D_
        "ID": 1,_x000D_
        "Results": [_x000D_
          [_x000D_
            0_x000D_
          ]_x000D_
        ],_x000D_
        "Statistics": {_x000D_
          "CreationDate": "2017-10-27T12:37:02.6059995+02:00",_x000D_
          "LastRefreshDate": "2017-10-27T12:37:02.939843+02:00",_x000D_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2590195.88_x000D_
          ]_x000D_
        ],_x000D_
        "Statistics": {_x000D_
          "CreationDate": "2017-10-27T12:37:02.939843+02:00",_x000D_
          "LastRefreshDate": "2017-10-27T12:37:02.9730128+02:00",_x000D_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32_x000D_
          ]_x000D_
        ],_x000D_
        "Statistics": {_x000D_
          "CreationDate": "2017-10-27T12:37:02.9893851+02:00",_x000D_
          "LastRefreshDate": "2017-10-27T12:50:23.996705+02:00",_x000D_
          "TotalRefreshCount": 3,_x000D_
          "CustomInfo": {}_x000D_
        }_x000D_
      },_x000D_
      "4": {_x000D_
        "$type": "Inside.Core.Formula.Definition.DefinitionAC, Inside.Core.Formula",_x000D_
        "ID": 4,_x000D_
        "Results": [_x000D_
          [_x000D_
            400611.89_x000D_
          ]_x000D_
        ],_x000D_
        "Statistics": {_x000D_
          "CreationDate": "2017-10-27T12:37:03.0233528+02:00",_x000D_
          "LastRefreshDate": "2017-10-27T12:37:03.057164+02:00",_x000D_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0_x000D_
          ]_x000D_
        ],_x000D_
        "Statistics": {_x000D_
          "CreationDate": "2017-10-27T12:37:03.0606656+02:00",_x000D_
          "LastRefreshDate": "2017-10-27T12:37:03.0867807+02:00",_x000D_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0_x000D_
          ]_x000D_
        ],_x000D_
        "Statistics": {_x000D_
          "CreationDate": "2017-10-27T12:38:27.5066862+02:00",_x000D_
          "LastRefreshDate": "2017-10-27T12:50:23.996705+02:00",_x000D_
          "TotalRefreshCount": 3,_x000D_
          "CustomInfo": {}_x000D_
        }_x000D_
      },_x000D_
      "7": {_x000D_
        "$type": "Inside.Core.Formula.Definition.DefinitionAC, Inside.Core.Formula",_x000D_
        "ID": 7,_x000D_
        "Results": [_x000D_
          [_x000D_
            0_x000D_
          ]_x000D_
        ],_x000D_
        "Statistics": {_x000D_
          "CreationDate": "2017-10-27T12:38:34.3231272+02:00",_x000D_
          "LastRefreshDate": "2017-10-27T12:50:23.996705+02:00",_x000D_
          "TotalRefreshCount": 3,_x000D_
          "CustomInfo": {}_x000D_
        }_x000D_
      },_x000D_
      "8": {_x000D_
        "$type": "Inside.Core.Formula.Definition.DefinitionAC, Inside.Core.Formula",_x000D_
        "ID": 8,_x000D_
        "Results": [_x000D_
          [_x000D_
            2590195.88_x000D_
          ]_x000D_
        ],_x000D_
        "Statistics": {_x000D_
          "CreationDate": "2017-10-27T12:38:38.4418962+02:00",_x000D_
          "LastRefreshDate": "2017-10-27T12:50:23.9635285+02:00",_x000D_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400611.89_x000D_
          ]_x000D_
        ],_x000D_
        "Statistics": {_x000D_
          "CreationDate": "2017-10-27T12:38:41.4550936+02:00",_x000D_
          "LastRefreshDate": "2017-10-27T12:50:23.996705+02:00",_x000D_
          "TotalRefreshCount": 2,_x000D_
          "CustomInfo": {}_x000D_
        }_x000D_
      }_x000D_
    },_x000D_
    "LastID": 9_x000D_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</si>
</sst>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_-* #,##0\ _€_-;\-* #,##0\ _€_-;_-* &quot;-&quot;??\ _€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22"/>
      <color theme="8" tint="-0.49998474074526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4"/>
      <color theme="8" tint="-0.499984740745262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sz val="10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b/>
      <sz val="22"/>
      <color theme="8" tint="-0.499984740745262"/>
      <name val="Arial"/>
      <family val="2"/>
    </font>
    <font>
      <b/>
      <sz val="11"/>
      <color theme="0"/>
      <name val="Arial"/>
      <family val="2"/>
    </font>
    <font>
      <b/>
      <sz val="14"/>
      <color theme="8" tint="-0.499984740745262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i/>
      <sz val="10"/>
      <color rgb="FF000000"/>
      <name val="Arial"/>
      <family val="2"/>
    </font>
    <font>
      <sz val="10"/>
      <color theme="8" tint="-0.499984740745262"/>
      <name val="Arial"/>
      <family val="2"/>
    </font>
    <font>
      <sz val="10"/>
      <color theme="0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  <font>
      <i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4" tint="-0.249977111117893"/>
      <name val="Arial"/>
      <family val="2"/>
    </font>
    <font>
      <sz val="10"/>
      <color theme="9" tint="0.39997558519241921"/>
      <name val="Arial"/>
      <family val="2"/>
    </font>
    <font>
      <sz val="18"/>
      <color theme="1"/>
      <name val="Century Gothic"/>
      <family val="2"/>
    </font>
    <font>
      <b/>
      <sz val="11"/>
      <color rgb="FF92D050"/>
      <name val="Century Gothic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1">
      <alignment horizontal="left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4" fontId="5" fillId="3" borderId="2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3" fillId="4" borderId="4" xfId="0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/>
    </xf>
    <xf numFmtId="49" fontId="14" fillId="0" borderId="7" xfId="0" applyNumberFormat="1" applyFont="1" applyFill="1" applyBorder="1" applyAlignment="1">
      <alignment horizontal="left" vertical="center"/>
    </xf>
    <xf numFmtId="4" fontId="8" fillId="0" borderId="0" xfId="0" applyNumberFormat="1" applyFont="1"/>
    <xf numFmtId="49" fontId="8" fillId="0" borderId="0" xfId="0" applyNumberFormat="1" applyFont="1"/>
    <xf numFmtId="49" fontId="0" fillId="0" borderId="0" xfId="0" applyNumberFormat="1"/>
    <xf numFmtId="4" fontId="0" fillId="0" borderId="0" xfId="0" applyNumberFormat="1"/>
    <xf numFmtId="49" fontId="5" fillId="3" borderId="9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 applyAlignment="1"/>
    <xf numFmtId="49" fontId="22" fillId="0" borderId="5" xfId="0" applyNumberFormat="1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NumberFormat="1" applyFont="1"/>
    <xf numFmtId="49" fontId="17" fillId="0" borderId="0" xfId="0" applyNumberFormat="1" applyFont="1"/>
    <xf numFmtId="4" fontId="5" fillId="3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9" fontId="23" fillId="5" borderId="8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" fontId="23" fillId="5" borderId="3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center" wrapText="1"/>
    </xf>
    <xf numFmtId="0" fontId="23" fillId="5" borderId="19" xfId="0" applyNumberFormat="1" applyFont="1" applyFill="1" applyBorder="1" applyAlignment="1">
      <alignment horizontal="center" vertical="center" wrapText="1"/>
    </xf>
    <xf numFmtId="49" fontId="25" fillId="6" borderId="11" xfId="0" applyNumberFormat="1" applyFont="1" applyFill="1" applyBorder="1" applyAlignment="1">
      <alignment horizontal="center" vertical="center" wrapText="1"/>
    </xf>
    <xf numFmtId="49" fontId="25" fillId="6" borderId="13" xfId="0" applyNumberFormat="1" applyFont="1" applyFill="1" applyBorder="1" applyAlignment="1">
      <alignment horizontal="center" vertical="center" wrapText="1"/>
    </xf>
    <xf numFmtId="49" fontId="25" fillId="6" borderId="16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9" fontId="24" fillId="7" borderId="14" xfId="0" applyNumberFormat="1" applyFont="1" applyFill="1" applyBorder="1" applyAlignment="1">
      <alignment horizontal="right" vertical="center" wrapText="1"/>
    </xf>
    <xf numFmtId="4" fontId="24" fillId="7" borderId="12" xfId="0" applyNumberFormat="1" applyFont="1" applyFill="1" applyBorder="1" applyAlignment="1">
      <alignment horizontal="right" vertical="center" wrapText="1"/>
    </xf>
    <xf numFmtId="4" fontId="24" fillId="7" borderId="14" xfId="0" applyNumberFormat="1" applyFont="1" applyFill="1" applyBorder="1" applyAlignment="1">
      <alignment horizontal="right" vertical="center" wrapText="1"/>
    </xf>
    <xf numFmtId="0" fontId="24" fillId="7" borderId="20" xfId="0" applyNumberFormat="1" applyFont="1" applyFill="1" applyBorder="1" applyAlignment="1">
      <alignment horizontal="center" vertical="center" wrapText="1"/>
    </xf>
    <xf numFmtId="49" fontId="25" fillId="6" borderId="11" xfId="0" applyNumberFormat="1" applyFont="1" applyFill="1" applyBorder="1" applyAlignment="1">
      <alignment horizontal="center" vertical="center"/>
    </xf>
    <xf numFmtId="49" fontId="25" fillId="6" borderId="13" xfId="0" applyNumberFormat="1" applyFont="1" applyFill="1" applyBorder="1" applyAlignment="1">
      <alignment horizontal="center" vertical="center"/>
    </xf>
    <xf numFmtId="49" fontId="24" fillId="7" borderId="14" xfId="0" applyNumberFormat="1" applyFont="1" applyFill="1" applyBorder="1" applyAlignment="1">
      <alignment horizontal="right" vertical="center"/>
    </xf>
    <xf numFmtId="4" fontId="24" fillId="7" borderId="12" xfId="0" applyNumberFormat="1" applyFont="1" applyFill="1" applyBorder="1" applyAlignment="1">
      <alignment horizontal="right" vertical="center"/>
    </xf>
    <xf numFmtId="49" fontId="26" fillId="5" borderId="8" xfId="0" applyNumberFormat="1" applyFont="1" applyFill="1" applyBorder="1" applyAlignment="1">
      <alignment horizontal="right" vertical="center"/>
    </xf>
    <xf numFmtId="4" fontId="26" fillId="5" borderId="3" xfId="0" applyNumberFormat="1" applyFont="1" applyFill="1" applyBorder="1" applyAlignment="1">
      <alignment horizontal="right" vertical="center"/>
    </xf>
    <xf numFmtId="49" fontId="25" fillId="6" borderId="16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left" vertical="center"/>
    </xf>
    <xf numFmtId="4" fontId="7" fillId="2" borderId="10" xfId="0" applyNumberFormat="1" applyFont="1" applyFill="1" applyBorder="1" applyAlignment="1">
      <alignment horizontal="right" vertical="center"/>
    </xf>
    <xf numFmtId="4" fontId="26" fillId="5" borderId="8" xfId="0" applyNumberFormat="1" applyFont="1" applyFill="1" applyBorder="1" applyAlignment="1">
      <alignment horizontal="right" vertical="center"/>
    </xf>
    <xf numFmtId="4" fontId="24" fillId="7" borderId="14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17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4" fontId="26" fillId="5" borderId="19" xfId="0" applyNumberFormat="1" applyFont="1" applyFill="1" applyBorder="1" applyAlignment="1">
      <alignment horizontal="right" vertical="center"/>
    </xf>
    <xf numFmtId="4" fontId="24" fillId="7" borderId="2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24" fillId="8" borderId="15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24" fillId="8" borderId="15" xfId="0" applyNumberFormat="1" applyFont="1" applyFill="1" applyBorder="1" applyAlignment="1">
      <alignment horizontal="center" vertical="center" wrapText="1"/>
    </xf>
    <xf numFmtId="4" fontId="24" fillId="8" borderId="15" xfId="0" applyNumberFormat="1" applyFont="1" applyFill="1" applyBorder="1" applyAlignment="1">
      <alignment horizontal="left" vertical="center"/>
    </xf>
    <xf numFmtId="49" fontId="25" fillId="6" borderId="14" xfId="0" applyNumberFormat="1" applyFont="1" applyFill="1" applyBorder="1" applyAlignment="1">
      <alignment horizontal="center" vertical="center" wrapText="1"/>
    </xf>
    <xf numFmtId="49" fontId="25" fillId="6" borderId="14" xfId="0" applyNumberFormat="1" applyFont="1" applyFill="1" applyBorder="1" applyAlignment="1">
      <alignment horizontal="center" vertical="center"/>
    </xf>
    <xf numFmtId="49" fontId="25" fillId="6" borderId="20" xfId="0" applyNumberFormat="1" applyFont="1" applyFill="1" applyBorder="1" applyAlignment="1">
      <alignment horizontal="center" vertical="center"/>
    </xf>
    <xf numFmtId="4" fontId="24" fillId="8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0" fillId="0" borderId="21" xfId="0" applyBorder="1"/>
    <xf numFmtId="0" fontId="27" fillId="0" borderId="4" xfId="0" applyFont="1" applyFill="1" applyBorder="1" applyAlignment="1">
      <alignment vertical="center"/>
    </xf>
    <xf numFmtId="14" fontId="2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9" fillId="0" borderId="0" xfId="0" applyFont="1" applyBorder="1" applyAlignment="1">
      <alignment horizontal="center" vertical="center"/>
    </xf>
    <xf numFmtId="0" fontId="0" fillId="0" borderId="5" xfId="0" applyBorder="1"/>
    <xf numFmtId="0" fontId="27" fillId="0" borderId="4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0" fillId="0" borderId="25" xfId="0" applyBorder="1"/>
    <xf numFmtId="0" fontId="2" fillId="0" borderId="0" xfId="0" applyFont="1" applyFill="1" applyBorder="1"/>
    <xf numFmtId="164" fontId="29" fillId="0" borderId="0" xfId="4" applyNumberFormat="1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 applyBorder="1"/>
    <xf numFmtId="0" fontId="0" fillId="0" borderId="23" xfId="0" applyBorder="1"/>
    <xf numFmtId="0" fontId="0" fillId="0" borderId="4" xfId="0" applyBorder="1"/>
    <xf numFmtId="14" fontId="29" fillId="0" borderId="5" xfId="0" applyNumberFormat="1" applyFont="1" applyBorder="1" applyAlignment="1">
      <alignment horizontal="center"/>
    </xf>
    <xf numFmtId="0" fontId="27" fillId="0" borderId="4" xfId="0" applyFont="1" applyBorder="1"/>
    <xf numFmtId="164" fontId="29" fillId="0" borderId="5" xfId="4" applyNumberFormat="1" applyFont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7" fillId="0" borderId="25" xfId="0" applyFont="1" applyBorder="1"/>
    <xf numFmtId="0" fontId="29" fillId="0" borderId="7" xfId="0" applyFont="1" applyBorder="1" applyAlignment="1">
      <alignment horizontal="center"/>
    </xf>
    <xf numFmtId="0" fontId="28" fillId="4" borderId="4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8" fillId="4" borderId="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49" fontId="31" fillId="9" borderId="0" xfId="0" applyNumberFormat="1" applyFont="1" applyFill="1" applyAlignment="1">
      <alignment vertical="center"/>
    </xf>
    <xf numFmtId="0" fontId="2" fillId="9" borderId="0" xfId="0" applyFont="1" applyFill="1"/>
    <xf numFmtId="0" fontId="2" fillId="0" borderId="0" xfId="0" applyFont="1"/>
    <xf numFmtId="0" fontId="36" fillId="0" borderId="0" xfId="0" applyFont="1"/>
    <xf numFmtId="0" fontId="38" fillId="0" borderId="0" xfId="0" applyFont="1" applyAlignment="1">
      <alignment horizontal="center"/>
    </xf>
    <xf numFmtId="14" fontId="28" fillId="0" borderId="0" xfId="0" applyNumberFormat="1" applyFont="1"/>
    <xf numFmtId="0" fontId="28" fillId="0" borderId="0" xfId="0" applyFont="1"/>
    <xf numFmtId="0" fontId="21" fillId="4" borderId="4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/>
    </xf>
    <xf numFmtId="49" fontId="40" fillId="11" borderId="0" xfId="6" applyNumberFormat="1" applyFont="1" applyFill="1" applyAlignment="1"/>
    <xf numFmtId="0" fontId="1" fillId="11" borderId="0" xfId="6" applyFill="1"/>
    <xf numFmtId="0" fontId="1" fillId="0" borderId="0" xfId="6"/>
    <xf numFmtId="0" fontId="41" fillId="0" borderId="0" xfId="6" applyFont="1" applyAlignment="1">
      <alignment horizontal="left" indent="2"/>
    </xf>
    <xf numFmtId="0" fontId="42" fillId="0" borderId="0" xfId="6" applyFont="1" applyAlignment="1">
      <alignment horizontal="left" indent="2"/>
    </xf>
    <xf numFmtId="0" fontId="1" fillId="12" borderId="0" xfId="6" applyFill="1"/>
    <xf numFmtId="0" fontId="1" fillId="0" borderId="0" xfId="6" applyFill="1"/>
    <xf numFmtId="49" fontId="40" fillId="11" borderId="0" xfId="6" quotePrefix="1" applyNumberFormat="1" applyFont="1" applyFill="1" applyAlignment="1">
      <alignment horizontal="center"/>
    </xf>
    <xf numFmtId="49" fontId="40" fillId="11" borderId="0" xfId="6" applyNumberFormat="1" applyFont="1" applyFill="1" applyAlignment="1">
      <alignment horizontal="center"/>
    </xf>
    <xf numFmtId="0" fontId="43" fillId="12" borderId="0" xfId="6" applyFont="1" applyFill="1" applyAlignment="1">
      <alignment horizontal="center" vertical="center" wrapText="1"/>
    </xf>
    <xf numFmtId="0" fontId="39" fillId="11" borderId="0" xfId="6" applyFont="1" applyFill="1" applyAlignment="1">
      <alignment horizontal="left" vertical="center" indent="2"/>
    </xf>
    <xf numFmtId="0" fontId="40" fillId="11" borderId="0" xfId="6" applyFont="1" applyFill="1" applyAlignment="1">
      <alignment horizontal="center"/>
    </xf>
    <xf numFmtId="165" fontId="37" fillId="0" borderId="0" xfId="0" applyNumberFormat="1" applyFont="1" applyAlignment="1">
      <alignment horizontal="center" vertical="center"/>
    </xf>
    <xf numFmtId="166" fontId="37" fillId="0" borderId="0" xfId="5" applyNumberFormat="1" applyFont="1" applyAlignment="1">
      <alignment horizontal="center" vertical="center"/>
    </xf>
    <xf numFmtId="49" fontId="33" fillId="9" borderId="0" xfId="0" applyNumberFormat="1" applyFont="1" applyFill="1" applyAlignment="1">
      <alignment horizontal="left" vertical="center"/>
    </xf>
    <xf numFmtId="49" fontId="31" fillId="9" borderId="0" xfId="0" quotePrefix="1" applyNumberFormat="1" applyFont="1" applyFill="1" applyAlignment="1">
      <alignment horizontal="center"/>
    </xf>
    <xf numFmtId="49" fontId="31" fillId="9" borderId="0" xfId="0" applyNumberFormat="1" applyFont="1" applyFill="1" applyAlignment="1">
      <alignment horizontal="center"/>
    </xf>
    <xf numFmtId="0" fontId="34" fillId="1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left" vertical="center"/>
    </xf>
    <xf numFmtId="49" fontId="32" fillId="9" borderId="0" xfId="0" applyNumberFormat="1" applyFont="1" applyFill="1" applyAlignment="1">
      <alignment horizontal="right" vertical="center"/>
    </xf>
    <xf numFmtId="49" fontId="33" fillId="9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" fontId="11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 wrapText="1"/>
    </xf>
    <xf numFmtId="4" fontId="11" fillId="4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 wrapText="1"/>
    </xf>
    <xf numFmtId="4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7">
    <cellStyle name="Filter Input Text" xfId="3"/>
    <cellStyle name="Milliers" xfId="4" builtinId="3"/>
    <cellStyle name="Milliers 2" xfId="5"/>
    <cellStyle name="Normal" xfId="0" builtinId="0"/>
    <cellStyle name="Normal 2" xfId="1"/>
    <cellStyle name="Normal 3" xfId="6"/>
    <cellStyle name="Normal 5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des DAP sur 5 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Constructions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106999.93</c:v>
              </c:pt>
              <c:pt idx="1">
                <c:v>79222.149999999994</c:v>
              </c:pt>
              <c:pt idx="2">
                <c:v>49666.6</c:v>
              </c:pt>
              <c:pt idx="3">
                <c:v>67066.55</c:v>
              </c:pt>
              <c:pt idx="4">
                <c:v>67066.55</c:v>
              </c:pt>
              <c:pt idx="5">
                <c:v>67066.55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33-4333-BC42-206FB82904EB}"/>
            </c:ext>
          </c:extLst>
        </c:ser>
        <c:ser>
          <c:idx val="1"/>
          <c:order val="1"/>
          <c:tx>
            <c:v>Installations Techniques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25520</c:v>
              </c:pt>
              <c:pt idx="2">
                <c:v>151880.53</c:v>
              </c:pt>
              <c:pt idx="3">
                <c:v>276116.64</c:v>
              </c:pt>
              <c:pt idx="4">
                <c:v>276116.64</c:v>
              </c:pt>
              <c:pt idx="5">
                <c:v>276116.64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33-4333-BC42-206FB82904EB}"/>
            </c:ext>
          </c:extLst>
        </c:ser>
        <c:ser>
          <c:idx val="2"/>
          <c:order val="2"/>
          <c:tx>
            <c:v>Matériel de bureau et informatique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1151.42</c:v>
              </c:pt>
              <c:pt idx="3">
                <c:v>1758.41</c:v>
              </c:pt>
              <c:pt idx="4">
                <c:v>1810</c:v>
              </c:pt>
              <c:pt idx="5">
                <c:v>679.95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33-4333-BC42-206FB82904EB}"/>
            </c:ext>
          </c:extLst>
        </c:ser>
        <c:ser>
          <c:idx val="3"/>
          <c:order val="3"/>
          <c:tx>
            <c:v>Mobilier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544.44000000000005</c:v>
              </c:pt>
              <c:pt idx="2">
                <c:v>1245.83</c:v>
              </c:pt>
              <c:pt idx="3">
                <c:v>3070</c:v>
              </c:pt>
              <c:pt idx="4">
                <c:v>3100</c:v>
              </c:pt>
              <c:pt idx="5">
                <c:v>3100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133-4333-BC42-206FB82904EB}"/>
            </c:ext>
          </c:extLst>
        </c:ser>
        <c:ser>
          <c:idx val="4"/>
          <c:order val="4"/>
          <c:tx>
            <c:v>Véhicules de tourisme</c:v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4125</c:v>
              </c:pt>
              <c:pt idx="2">
                <c:v>14083.34</c:v>
              </c:pt>
              <c:pt idx="3">
                <c:v>27083.33</c:v>
              </c:pt>
              <c:pt idx="4">
                <c:v>27750</c:v>
              </c:pt>
              <c:pt idx="5">
                <c:v>23625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133-4333-BC42-206FB82904EB}"/>
            </c:ext>
          </c:extLst>
        </c:ser>
        <c:ser>
          <c:idx val="5"/>
          <c:order val="5"/>
          <c:tx>
            <c:v>Véhicules utilitaires</c:v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6419.58</c:v>
              </c:pt>
              <c:pt idx="3">
                <c:v>29989.39</c:v>
              </c:pt>
              <c:pt idx="4">
                <c:v>30023.75</c:v>
              </c:pt>
              <c:pt idx="5">
                <c:v>30023.75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133-4333-BC42-206FB829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50376"/>
        <c:axId val="739251032"/>
      </c:lineChart>
      <c:catAx>
        <c:axId val="73925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251032"/>
        <c:crosses val="autoZero"/>
        <c:auto val="1"/>
        <c:lblAlgn val="ctr"/>
        <c:lblOffset val="100"/>
        <c:noMultiLvlLbl val="0"/>
      </c:catAx>
      <c:valAx>
        <c:axId val="73925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25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immobilisations par Familles</a:t>
            </a:r>
          </a:p>
          <a:p>
            <a:pPr>
              <a:defRPr/>
            </a:pPr>
            <a:r>
              <a:rPr lang="fr-FR"/>
              <a:t>(Valorisation VNC)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7712166496211"/>
          <c:y val="0.26355205599300086"/>
          <c:w val="0.42456931219032684"/>
          <c:h val="0.68016861528672568"/>
        </c:manualLayout>
      </c:layout>
      <c:doughnutChart>
        <c:varyColors val="1"/>
        <c:ser>
          <c:idx val="1"/>
          <c:order val="1"/>
          <c:tx>
            <c:v>VNC Fin Plan</c:v>
          </c:tx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36-4380-8C1C-0876ACE4BA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36-4380-8C1C-0876ACE4BA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6042-4BD6-A78C-FA6FBB40EB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042-4BD6-A78C-FA6FBB40EB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6042-4BD6-A78C-FA6FBB40EB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042-4BD6-A78C-FA6FBB40EBF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42-4BD6-A78C-FA6FBB40EBF1}"/>
                </c:ext>
              </c:extLst>
            </c:dLbl>
            <c:dLbl>
              <c:idx val="3"/>
              <c:layout>
                <c:manualLayout>
                  <c:x val="-2.6902059688944935E-2"/>
                  <c:y val="-4.04040404040404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42-4BD6-A78C-FA6FBB40EBF1}"/>
                </c:ext>
              </c:extLst>
            </c:dLbl>
            <c:dLbl>
              <c:idx val="4"/>
              <c:layout>
                <c:manualLayout>
                  <c:x val="-3.3627574611181169E-3"/>
                  <c:y val="-0.126599326599326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42-4BD6-A78C-FA6FBB40EBF1}"/>
                </c:ext>
              </c:extLst>
            </c:dLbl>
            <c:dLbl>
              <c:idx val="5"/>
              <c:layout>
                <c:manualLayout>
                  <c:x val="3.530895334174023E-2"/>
                  <c:y val="-9.6969696969697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42-4BD6-A78C-FA6FBB40EBF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Constructions</c:v>
              </c:pt>
              <c:pt idx="1">
                <c:v>Installations Techniques</c:v>
              </c:pt>
              <c:pt idx="2">
                <c:v>Matériel de bureau et informatique</c:v>
              </c:pt>
              <c:pt idx="3">
                <c:v>Mobilier</c:v>
              </c:pt>
              <c:pt idx="4">
                <c:v>Véhicules de tourisme</c:v>
              </c:pt>
              <c:pt idx="5">
                <c:v>Véhicules utilitaires</c:v>
              </c:pt>
            </c:strLit>
          </c:cat>
          <c:val>
            <c:numLit>
              <c:formatCode>General</c:formatCode>
              <c:ptCount val="6"/>
              <c:pt idx="0">
                <c:v>1009134.45</c:v>
              </c:pt>
              <c:pt idx="1">
                <c:v>1509249.55</c:v>
              </c:pt>
              <c:pt idx="2">
                <c:v>900.29</c:v>
              </c:pt>
              <c:pt idx="3">
                <c:v>19939.73</c:v>
              </c:pt>
              <c:pt idx="4">
                <c:v>27333.33</c:v>
              </c:pt>
              <c:pt idx="5">
                <c:v>23638.53</c:v>
              </c:pt>
            </c:numLit>
          </c:val>
          <c:extLst>
            <c:ext xmlns:c16="http://schemas.microsoft.com/office/drawing/2014/chart" uri="{C3380CC4-5D6E-409C-BE32-E72D297353CC}">
              <c16:uniqueId val="{0000000C-6042-4BD6-A78C-FA6FBB40EB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VNC Fin Plan</c:v>
                </c:tx>
                <c:explosion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64AE-48A3-80C7-AD013B1F91FB}"/>
                    </c:ext>
                  </c:extLst>
                </c:dPt>
                <c:dPt>
                  <c:idx val="1"/>
                  <c:bubble3D val="0"/>
                  <c:explosion val="9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64AE-48A3-80C7-AD013B1F91F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64AE-48A3-80C7-AD013B1F91FB}"/>
                    </c:ext>
                  </c:extLst>
                </c:dPt>
                <c:dPt>
                  <c:idx val="3"/>
                  <c:bubble3D val="0"/>
                  <c:explosion val="29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64AE-48A3-80C7-AD013B1F91FB}"/>
                    </c:ext>
                  </c:extLst>
                </c:dPt>
                <c:dPt>
                  <c:idx val="4"/>
                  <c:bubble3D val="0"/>
                  <c:explosion val="27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9-64AE-48A3-80C7-AD013B1F91FB}"/>
                    </c:ext>
                  </c:extLst>
                </c:dPt>
                <c:dPt>
                  <c:idx val="5"/>
                  <c:bubble3D val="0"/>
                  <c:explosion val="27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64AE-48A3-80C7-AD013B1F91FB}"/>
                    </c:ext>
                  </c:extLst>
                </c:dPt>
                <c:dLbls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64AE-48A3-80C7-AD013B1F91FB}"/>
                      </c:ext>
                    </c:extLst>
                  </c:dLbl>
                  <c:dLbl>
                    <c:idx val="3"/>
                    <c:layout>
                      <c:manualLayout>
                        <c:x val="-2.353930222782688E-2"/>
                        <c:y val="-2.154882154882155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64AE-48A3-80C7-AD013B1F91FB}"/>
                      </c:ext>
                    </c:extLst>
                  </c:dLbl>
                  <c:dLbl>
                    <c:idx val="4"/>
                    <c:layout>
                      <c:manualLayout>
                        <c:x val="-6.7255149222362337E-3"/>
                        <c:y val="-0.1212121212121212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64AE-48A3-80C7-AD013B1F91FB}"/>
                      </c:ext>
                    </c:extLst>
                  </c:dLbl>
                  <c:dLbl>
                    <c:idx val="5"/>
                    <c:layout>
                      <c:manualLayout>
                        <c:x val="5.044136191677169E-2"/>
                        <c:y val="-6.1952861952861975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64AE-48A3-80C7-AD013B1F91FB}"/>
                      </c:ext>
                    </c:extLst>
                  </c:dLbl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C-64AE-48A3-80C7-AD013B1F91F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7E6098-930B-4EF1-AD50-DB693EE45B16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F3CC3BD6-FF7E-4563-A92C-AEF1B5A7C8C2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EEC0429A-05A8-4DFC-983C-CD8AE724F07A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B5A3956C-55F9-4F4C-B62A-A06801E420A5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142875</xdr:rowOff>
    </xdr:from>
    <xdr:to>
      <xdr:col>7</xdr:col>
      <xdr:colOff>9525</xdr:colOff>
      <xdr:row>37</xdr:row>
      <xdr:rowOff>152400</xdr:rowOff>
    </xdr:to>
    <xdr:graphicFrame macro="">
      <xdr:nvGraphicFramePr>
        <xdr:cNvPr id="4" name="Graphique_A10">
          <a:extLst>
            <a:ext uri="{FF2B5EF4-FFF2-40B4-BE49-F238E27FC236}">
              <a16:creationId xmlns:a16="http://schemas.microsoft.com/office/drawing/2014/main" id="{CE1E1820-FF28-4F5F-83A8-9E1FA6C0D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9</xdr:row>
      <xdr:rowOff>0</xdr:rowOff>
    </xdr:from>
    <xdr:to>
      <xdr:col>17</xdr:col>
      <xdr:colOff>66674</xdr:colOff>
      <xdr:row>38</xdr:row>
      <xdr:rowOff>0</xdr:rowOff>
    </xdr:to>
    <xdr:graphicFrame macro="">
      <xdr:nvGraphicFramePr>
        <xdr:cNvPr id="5" name="Graphique_I10">
          <a:extLst>
            <a:ext uri="{FF2B5EF4-FFF2-40B4-BE49-F238E27FC236}">
              <a16:creationId xmlns:a16="http://schemas.microsoft.com/office/drawing/2014/main" id="{AB76E6EA-4AF4-477D-B7CB-5F0515DE3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affaticati/AppData/Local/Microsoft/Windows/Temporary%20Internet%20Files/Content.Outlook/JYC27STS/Reporting%20de%20tr&#233;sore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Tresorerie"/>
      <sheetName val="Soldes Dynamiques"/>
      <sheetName val="Rolling Forecast"/>
      <sheetName val="Analyse Budgétaire"/>
      <sheetName val="Comparatif N-1"/>
      <sheetName val="Statistiques"/>
      <sheetName val="Plus-value  SICAV"/>
      <sheetName val="Valorisation Portefeuill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Janvier</v>
          </cell>
        </row>
        <row r="2">
          <cell r="A2" t="str">
            <v>Février</v>
          </cell>
        </row>
        <row r="3">
          <cell r="A3" t="str">
            <v>Mars</v>
          </cell>
        </row>
        <row r="4">
          <cell r="A4" t="str">
            <v>Avril</v>
          </cell>
        </row>
        <row r="5">
          <cell r="A5" t="str">
            <v>Mai</v>
          </cell>
        </row>
        <row r="6">
          <cell r="A6" t="str">
            <v>Juin</v>
          </cell>
        </row>
        <row r="7">
          <cell r="A7" t="str">
            <v>Juillet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  <row r="16">
          <cell r="A16" t="str">
            <v>Initial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showGridLines="0" tabSelected="1" zoomScale="70" zoomScaleNormal="70" workbookViewId="0">
      <selection activeCell="N8" sqref="N8"/>
    </sheetView>
  </sheetViews>
  <sheetFormatPr baseColWidth="10" defaultRowHeight="15" x14ac:dyDescent="0.25"/>
  <cols>
    <col min="1" max="18" width="11.42578125" style="107"/>
    <col min="19" max="19" width="15.85546875" style="107" customWidth="1"/>
    <col min="20" max="16384" width="11.42578125" style="107"/>
  </cols>
  <sheetData>
    <row r="1" spans="1:39" ht="15" customHeight="1" x14ac:dyDescent="0.35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2"/>
      <c r="O1" s="105"/>
      <c r="P1" s="116"/>
      <c r="Q1" s="116"/>
      <c r="R1" s="112"/>
      <c r="S1" s="105"/>
      <c r="T1" s="116"/>
      <c r="U1" s="116"/>
      <c r="V1" s="112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26.25" x14ac:dyDescent="0.3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6"/>
      <c r="N2" s="113"/>
      <c r="O2" s="105"/>
      <c r="P2" s="116"/>
      <c r="Q2" s="116"/>
      <c r="R2" s="113"/>
      <c r="S2" s="105"/>
      <c r="T2" s="116"/>
      <c r="U2" s="116"/>
      <c r="V2" s="113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7" spans="1:39" ht="25.5" x14ac:dyDescent="0.5">
      <c r="B7" s="108" t="s">
        <v>78</v>
      </c>
    </row>
    <row r="8" spans="1:39" ht="19.5" x14ac:dyDescent="0.25">
      <c r="B8" s="109"/>
    </row>
    <row r="9" spans="1:39" ht="19.5" x14ac:dyDescent="0.25">
      <c r="B9" s="109"/>
    </row>
    <row r="10" spans="1:39" ht="19.5" x14ac:dyDescent="0.25">
      <c r="B10" s="109"/>
    </row>
    <row r="11" spans="1:39" ht="19.5" x14ac:dyDescent="0.25">
      <c r="B11" s="109"/>
    </row>
    <row r="12" spans="1:39" ht="25.5" x14ac:dyDescent="0.5">
      <c r="B12" s="108" t="s">
        <v>79</v>
      </c>
    </row>
    <row r="13" spans="1:39" ht="19.5" x14ac:dyDescent="0.25">
      <c r="B13" s="109"/>
    </row>
    <row r="14" spans="1:39" ht="19.5" x14ac:dyDescent="0.25">
      <c r="B14" s="109"/>
    </row>
    <row r="15" spans="1:39" ht="19.5" x14ac:dyDescent="0.25">
      <c r="B15" s="109"/>
    </row>
    <row r="16" spans="1:39" ht="19.5" x14ac:dyDescent="0.25">
      <c r="B16" s="109"/>
    </row>
    <row r="17" spans="1:39" ht="25.5" x14ac:dyDescent="0.5">
      <c r="B17" s="108" t="s">
        <v>80</v>
      </c>
    </row>
    <row r="22" spans="1:39" ht="15" customHeight="1" x14ac:dyDescent="0.25">
      <c r="A22" s="114" t="s">
        <v>81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</row>
    <row r="23" spans="1:39" ht="15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39" ht="15" customHeight="1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</row>
    <row r="25" spans="1:39" ht="15" customHeight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</row>
    <row r="26" spans="1:39" s="111" customFormat="1" ht="15" customHeight="1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  <row r="27" spans="1:39" s="111" customFormat="1" ht="15" customHeight="1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39" s="111" customFormat="1" ht="15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39" s="111" customFormat="1" ht="7.5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s="111" customForma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s="111" customFormat="1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s="111" customForma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s="111" customForma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zoomScaleNormal="100" zoomScaleSheetLayoutView="100" workbookViewId="0">
      <selection activeCell="S16" sqref="S16"/>
    </sheetView>
  </sheetViews>
  <sheetFormatPr baseColWidth="10" defaultRowHeight="12.75" x14ac:dyDescent="0.2"/>
  <cols>
    <col min="1" max="1" width="28.140625" customWidth="1"/>
    <col min="4" max="4" width="22" customWidth="1"/>
    <col min="8" max="8" width="3.7109375" customWidth="1"/>
    <col min="10" max="10" width="15.140625" customWidth="1"/>
    <col min="11" max="12" width="14.7109375" customWidth="1"/>
    <col min="26" max="26" width="20.5703125" bestFit="1" customWidth="1"/>
  </cols>
  <sheetData>
    <row r="1" spans="1:27" s="98" customFormat="1" ht="17.25" customHeight="1" x14ac:dyDescent="0.2">
      <c r="A1" s="124" t="s">
        <v>70</v>
      </c>
      <c r="B1" s="124"/>
      <c r="C1" s="124"/>
      <c r="D1" s="124"/>
      <c r="E1" s="96"/>
      <c r="F1" s="125" t="s">
        <v>71</v>
      </c>
      <c r="G1" s="119" t="s">
        <v>37</v>
      </c>
      <c r="H1" s="119"/>
      <c r="I1" s="125" t="s">
        <v>7</v>
      </c>
      <c r="J1" s="125"/>
      <c r="K1" s="126" t="s">
        <v>3</v>
      </c>
      <c r="L1" s="125" t="s">
        <v>8</v>
      </c>
      <c r="M1" s="119" t="s">
        <v>38</v>
      </c>
      <c r="N1" s="119"/>
      <c r="O1" s="120"/>
      <c r="P1" s="97"/>
      <c r="Q1" s="97"/>
      <c r="R1" s="101">
        <f>+DATE(M1,12,31)</f>
        <v>43100</v>
      </c>
      <c r="S1" s="102" t="str">
        <f>TEXT(R1,"jj/mm/aaaa")</f>
        <v>31/12/2017</v>
      </c>
      <c r="T1" s="102" t="str">
        <f>"&lt;="&amp;S1</f>
        <v>&lt;=31/12/2017</v>
      </c>
      <c r="Z1" s="98" t="s">
        <v>72</v>
      </c>
      <c r="AA1" s="98" t="s">
        <v>73</v>
      </c>
    </row>
    <row r="2" spans="1:27" s="98" customFormat="1" ht="17.25" customHeight="1" x14ac:dyDescent="0.2">
      <c r="A2" s="124"/>
      <c r="B2" s="124"/>
      <c r="C2" s="124"/>
      <c r="D2" s="124"/>
      <c r="E2" s="96"/>
      <c r="F2" s="125"/>
      <c r="G2" s="119"/>
      <c r="H2" s="119"/>
      <c r="I2" s="125"/>
      <c r="J2" s="125"/>
      <c r="K2" s="126"/>
      <c r="L2" s="125"/>
      <c r="M2" s="119"/>
      <c r="N2" s="119"/>
      <c r="O2" s="121"/>
      <c r="P2" s="97"/>
      <c r="Q2" s="97"/>
      <c r="Z2" s="98" t="str">
        <f>"01/01/"&amp;$M$1&amp;".."&amp;"31/12/"&amp;$M$1</f>
        <v>01/01/2017..31/12/2017</v>
      </c>
      <c r="AA2" s="98" t="str">
        <f>M1-5&amp;".."&amp;M1</f>
        <v>2012..2017</v>
      </c>
    </row>
    <row r="3" spans="1:27" s="98" customFormat="1" x14ac:dyDescent="0.2"/>
    <row r="4" spans="1:27" s="98" customFormat="1" ht="18" x14ac:dyDescent="0.25">
      <c r="A4" s="122" t="s">
        <v>74</v>
      </c>
      <c r="B4" s="122"/>
      <c r="C4" s="122"/>
      <c r="D4" s="122"/>
      <c r="E4" s="122"/>
      <c r="F4" s="122"/>
      <c r="G4" s="122"/>
      <c r="I4" s="122" t="s">
        <v>75</v>
      </c>
      <c r="J4" s="122"/>
      <c r="K4" s="122"/>
      <c r="L4" s="122"/>
      <c r="M4" s="122"/>
      <c r="N4" s="122"/>
      <c r="O4" s="122"/>
      <c r="P4" s="122"/>
      <c r="Q4" s="122"/>
    </row>
    <row r="5" spans="1:27" s="98" customFormat="1" x14ac:dyDescent="0.2"/>
    <row r="6" spans="1:27" s="98" customFormat="1" ht="15.75" x14ac:dyDescent="0.25">
      <c r="A6" s="123" t="str">
        <f>"TOTAL Dotations "&amp;$M$1</f>
        <v>TOTAL Dotations 2017</v>
      </c>
      <c r="B6" s="123"/>
      <c r="C6" s="123" t="str">
        <f>"VNC Fin "&amp;$M$1</f>
        <v>VNC Fin 2017</v>
      </c>
      <c r="D6" s="123"/>
      <c r="E6" s="123"/>
      <c r="F6" s="99"/>
      <c r="G6" s="99"/>
      <c r="H6" s="99"/>
      <c r="I6" s="123" t="s">
        <v>76</v>
      </c>
      <c r="J6" s="123"/>
      <c r="K6" s="123" t="str">
        <f>"Acquisition(s) "&amp;$M$1</f>
        <v>Acquisition(s) 2017</v>
      </c>
      <c r="L6" s="123"/>
      <c r="M6" s="123" t="str">
        <f>"Sortie(s) "&amp;$M$1</f>
        <v>Sortie(s) 2017</v>
      </c>
      <c r="N6" s="123"/>
    </row>
    <row r="7" spans="1:27" ht="12.75" customHeight="1" x14ac:dyDescent="0.2">
      <c r="A7" s="117" t="str">
        <f>_xll.Assistant.XL.RIK_AC("AEO36__;INF02@E=1,S=77,G=0,T=0,P=0:@R=A,S=83,V=OUI:R=B,S=71,V={0}:R=C,S=81,V={1}:R=D,S=86,V={2}:",$K$1,$M$1,$G$1)</f>
        <v/>
      </c>
      <c r="B7" s="117"/>
      <c r="C7" s="117" t="str">
        <f>_xll.Assistant.XL.RIK_AC("AEO36__;INF02@E=1,S=80,G=0,T=0,P=0:@R=A,S=83,V=OUI:R=B,S=71,V={0}:R=C,S=81,V={1}:R=D,S=86,V={2}:",$K$1,$M$1,$G$1)</f>
        <v/>
      </c>
      <c r="D7" s="117"/>
      <c r="E7" s="117"/>
      <c r="I7" s="118" t="str">
        <f>_xll.Assistant.XL.RIK_AC("AEO36__;INF01@E=8,S=6,G=0,T=0,P=0:@R=A,S=70,V={0}:R=B,S=73,V=&lt;NULL&gt;:R=C,S=84,V={1}:",$G$1,$T$1)</f>
        <v/>
      </c>
      <c r="J7" s="118"/>
      <c r="K7" s="118" t="str">
        <f>_xll.Assistant.XL.RIK_AC("AEO36__;INF01@E=8,S=6,G=0,T=0,P=0:@R=A,S=70,V={0}:R=B,S=84,V={1}:R=C,S=69,V=OUI:",$G$1,$Z$2)</f>
        <v/>
      </c>
      <c r="L7" s="118"/>
      <c r="M7" s="118" t="str">
        <f>_xll.Assistant.XL.RIK_AC("AEO36__;INF01@E=8,S=6,G=0,T=0,P=0:@R=A,S=70,V={0}:R=B,S=73,V={1}:R=C,S=69,V=OUI:",$G$1,$Z$2)</f>
        <v/>
      </c>
      <c r="N7" s="118"/>
    </row>
    <row r="8" spans="1:27" ht="12.75" customHeight="1" x14ac:dyDescent="0.2">
      <c r="A8" s="117"/>
      <c r="B8" s="117"/>
      <c r="C8" s="117"/>
      <c r="D8" s="117"/>
      <c r="E8" s="117"/>
      <c r="I8" s="118"/>
      <c r="J8" s="118"/>
      <c r="K8" s="118"/>
      <c r="L8" s="118"/>
      <c r="M8" s="118"/>
      <c r="N8" s="118"/>
    </row>
    <row r="10" spans="1:27" ht="14.25" x14ac:dyDescent="0.2">
      <c r="A10" t="str">
        <f>_xll.Assistant.XL.RIK_AG("AEO36_0_0_0_0_0_0_D=0x0;INF02@E=0,S=81,G=0,T=0_0,P=-1@E=1,S=77@E=0,S=36,G=0,T=0_0,P=-1@@R=A,S=71,V={0}:R=B,S=86,V={1}:R=C,S=81,V={2}:R=A,S=83,V=OUI:",$K$1,$G$1,$AA$2)</f>
        <v/>
      </c>
      <c r="B10" s="100"/>
      <c r="I10" t="str">
        <f>_xll.Assistant.XL.RIK_AG("AEO36_0_3_0_0_0_0_D=0x0;INF02@E=0,S=36,G=0,T=0_0,P=-1@E=1,S=80@@@R=A,S=71,V={0}:R=B,S=86,V={1}:R=C,S=81,V={2}:R=A,S=83,V=OUI:",$K$1,$G$1,$M$1)</f>
        <v/>
      </c>
    </row>
    <row r="11" spans="1:27" ht="12.75" customHeight="1" x14ac:dyDescent="0.2"/>
    <row r="12" spans="1:27" ht="12.75" customHeight="1" x14ac:dyDescent="0.2"/>
    <row r="13" spans="1:27" ht="12.75" customHeight="1" x14ac:dyDescent="0.2"/>
    <row r="15" spans="1:27" ht="12.75" customHeight="1" x14ac:dyDescent="0.2"/>
    <row r="16" spans="1:27" ht="12.75" customHeight="1" x14ac:dyDescent="0.2"/>
  </sheetData>
  <mergeCells count="20">
    <mergeCell ref="M1:N2"/>
    <mergeCell ref="O1:O2"/>
    <mergeCell ref="A4:G4"/>
    <mergeCell ref="I4:Q4"/>
    <mergeCell ref="A6:B6"/>
    <mergeCell ref="C6:E6"/>
    <mergeCell ref="I6:J6"/>
    <mergeCell ref="K6:L6"/>
    <mergeCell ref="M6:N6"/>
    <mergeCell ref="A1:D2"/>
    <mergeCell ref="F1:F2"/>
    <mergeCell ref="G1:H2"/>
    <mergeCell ref="I1:J2"/>
    <mergeCell ref="K1:K2"/>
    <mergeCell ref="L1:L2"/>
    <mergeCell ref="A7:B8"/>
    <mergeCell ref="C7:E8"/>
    <mergeCell ref="I7:J8"/>
    <mergeCell ref="K7:L8"/>
    <mergeCell ref="M7:N8"/>
  </mergeCells>
  <pageMargins left="0.23622047244094491" right="0.23622047244094491" top="0.4" bottom="0.74803149606299213" header="0.31496062992125984" footer="0.31496062992125984"/>
  <pageSetup paperSize="9" scale="6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H53"/>
  <sheetViews>
    <sheetView showGridLines="0" workbookViewId="0">
      <selection activeCell="D6" sqref="D6"/>
    </sheetView>
  </sheetViews>
  <sheetFormatPr baseColWidth="10" defaultRowHeight="12.75" x14ac:dyDescent="0.2"/>
  <cols>
    <col min="1" max="1" width="37.140625" style="4" bestFit="1" customWidth="1"/>
    <col min="2" max="2" width="18.7109375" style="4" customWidth="1"/>
    <col min="3" max="3" width="21.140625" style="4" customWidth="1"/>
    <col min="4" max="5" width="18.7109375" style="4" customWidth="1"/>
    <col min="6" max="6" width="13.28515625" style="4" bestFit="1" customWidth="1"/>
    <col min="7" max="7" width="11.5703125" style="4" bestFit="1" customWidth="1"/>
    <col min="8" max="8" width="11.28515625" style="4" bestFit="1" customWidth="1"/>
    <col min="9" max="16384" width="11.42578125" style="4"/>
  </cols>
  <sheetData>
    <row r="1" spans="1:6" ht="16.5" customHeight="1" x14ac:dyDescent="0.4">
      <c r="B1" s="5"/>
      <c r="C1" s="5"/>
      <c r="D1" s="5"/>
    </row>
    <row r="2" spans="1:6" ht="19.5" customHeight="1" x14ac:dyDescent="0.2">
      <c r="A2" s="127" t="str">
        <f>"Dotations "&amp;$D$5</f>
        <v>Dotations 2017</v>
      </c>
      <c r="C2" s="129" t="s">
        <v>31</v>
      </c>
      <c r="D2" s="130"/>
      <c r="F2" s="128" t="s">
        <v>29</v>
      </c>
    </row>
    <row r="3" spans="1:6" ht="14.25" customHeight="1" x14ac:dyDescent="0.2">
      <c r="A3" s="127"/>
      <c r="C3" s="7" t="s">
        <v>6</v>
      </c>
      <c r="D3" s="8" t="s">
        <v>37</v>
      </c>
      <c r="F3" s="128"/>
    </row>
    <row r="4" spans="1:6" ht="14.25" customHeight="1" x14ac:dyDescent="0.2">
      <c r="A4" s="127"/>
      <c r="C4" s="7" t="s">
        <v>7</v>
      </c>
      <c r="D4" s="8" t="s">
        <v>3</v>
      </c>
      <c r="F4" s="128"/>
    </row>
    <row r="5" spans="1:6" ht="14.25" customHeight="1" x14ac:dyDescent="0.2">
      <c r="A5" s="127"/>
      <c r="C5" s="9" t="s">
        <v>8</v>
      </c>
      <c r="D5" s="10" t="s">
        <v>38</v>
      </c>
      <c r="F5" s="128"/>
    </row>
    <row r="7" spans="1:6" x14ac:dyDescent="0.2">
      <c r="A7" s="6" t="str">
        <f>_xll.Assistant.XL.RIK_AL("AEO36__2_0_1,F=B='1',U='0',I='0',FN='Arial',FS='11',FC='#FFFFFF',BC='#4682B4',AH='2',AV='1',Br=[$top-$bottom],BrS='1',BrC='#000000'_1,C=Total,F=B='1',U='0',I='0',FN='Arial',FS='11',FC='#000000',BC='#87CEEB',AH='3',AV='1'"&amp;",Br=[$top-$bottom],BrS='1',BrC='#000000'_0_1_0_0_D=45x5;INF02@E=0,S=36,G=0_0_1_F=B='1'_U='0'_I='0'_FN='Calibri'_FS='10'_FC='#000000'_BC='#FFFFFF'_AH='1'_AV='1'_Br=[$top-$bottom]_BrS='1'_BrC='#778899'_C=Intitulé Famille_1"&amp;"_1_F=B='1'_U='0'_I='1'_FN='Arial'_FS='10'_FC='#000000'_BC='#F0FFFF'_AH='3'_AV='1'_Br=[$top-$bottom]_BrS='1'_BrC='#778899'_C=Famille,T=0,P=0,O=NF='Texte'_B='0'_U='0'_I='0'_FN='Calibri'_FS='10'_FC='#000000'_BC='#FFFFFF'_AH"&amp;"='1'_AV='1'_Br=[]_BrS='0'_BrC='#FFFFFF'_WpT='0':L=Bien Code-Intitulé,E=0,G=0,T=0,P=0,F=CONCATENER([6];{g} {g};[8]),Y=1,O=NF='Texte'_B='0'_U='0'_I='0'_FN='Arial'_FS='10'_FC='#000000'_BC='#FFFFFF'_AH='1'_AV='1'_Br=[$left]_"&amp;"BrS='1'_BrC='#000000'_WpT='0':L=Valeur Acquisition,E=0,G=0,T=0,P=0,F=[10],Y=1,O=NF='Nombre'_B='0'_U='0'_I='0'_FN='Arial'_FS='10'_FC='#000000'_BC='#FFFFFF'_AH='3'_AV='1'_Br=[$right]_BrS='1'_BrC='#000000'_WpT='0':E=1,S=76,"&amp;"G=0,T=0,P=0,O=NF='Nombre'_B='0'_U='0'_I='0'_FN='Arial'_FS='10'_FC='#000000'_BC='#FFFFFF'_AH='3'_AV='1'_Br=[$left-$right]_BrS='1'_BrC='#000000'_WpT='0':E=1,S=77,G=0,T=0,P=0,O=NF='Nombre'_B='0'_U='0'_I='0'_FN='Arial'_FS='1"&amp;"0'_FC='#000000'_BC='#FFFFFF'_AH='3'_AV='1'_Br=[$left-$right]_BrS='1'_BrC='#000000'_WpT='0':E=1,S=80,G=0,T=0,P=0,O=NF='Nombre'_B='0'_U='0'_I='0'_FN='Arial'_FS='10'_FC='#000000'_BC='#FFFFFF'_AH='3'_AV='1'_Br=[$left-$right]"&amp;"_BrS='1'_BrC='#000000'_WpT='0':@R=A,S=83,V=OUI:R=B,S=82,V=*:R=C,S=86,V={0}:R=D,S=71,V={1}:R=E,S=81,V={2}:",$D$3,$D$4,$D$5)</f>
        <v/>
      </c>
    </row>
    <row r="8" spans="1:6" ht="15" x14ac:dyDescent="0.2">
      <c r="A8" s="43" t="s">
        <v>30</v>
      </c>
      <c r="B8" s="42" t="s">
        <v>28</v>
      </c>
      <c r="C8" s="43" t="s">
        <v>1</v>
      </c>
      <c r="D8" s="43" t="s">
        <v>4</v>
      </c>
      <c r="E8" s="48" t="s">
        <v>2</v>
      </c>
    </row>
    <row r="9" spans="1:6" ht="0.95" customHeight="1" x14ac:dyDescent="0.2">
      <c r="A9" s="2"/>
      <c r="B9" s="1"/>
      <c r="C9" s="50"/>
      <c r="D9" s="54"/>
      <c r="E9" s="55"/>
    </row>
    <row r="10" spans="1:6" x14ac:dyDescent="0.2">
      <c r="A10" s="3" t="s">
        <v>9</v>
      </c>
      <c r="B10" s="49">
        <v>300000</v>
      </c>
      <c r="C10" s="51">
        <v>213541.67</v>
      </c>
      <c r="D10" s="51">
        <v>12500</v>
      </c>
      <c r="E10" s="56">
        <v>201041.67</v>
      </c>
    </row>
    <row r="11" spans="1:6" x14ac:dyDescent="0.2">
      <c r="A11" s="3" t="s">
        <v>10</v>
      </c>
      <c r="B11" s="49">
        <v>450000</v>
      </c>
      <c r="C11" s="51">
        <v>384375</v>
      </c>
      <c r="D11" s="51">
        <v>22500</v>
      </c>
      <c r="E11" s="56">
        <v>361875</v>
      </c>
    </row>
    <row r="12" spans="1:6" x14ac:dyDescent="0.2">
      <c r="A12" s="3" t="s">
        <v>11</v>
      </c>
      <c r="B12" s="49">
        <v>225000</v>
      </c>
      <c r="C12" s="51">
        <v>119000.91</v>
      </c>
      <c r="D12" s="51">
        <v>6999.93</v>
      </c>
      <c r="E12" s="56">
        <v>112000.98</v>
      </c>
    </row>
    <row r="13" spans="1:6" x14ac:dyDescent="0.2">
      <c r="A13" s="3" t="s">
        <v>12</v>
      </c>
      <c r="B13" s="49">
        <v>60000</v>
      </c>
      <c r="C13" s="51">
        <v>47999.94</v>
      </c>
      <c r="D13" s="51">
        <v>4000.02</v>
      </c>
      <c r="E13" s="56">
        <v>43999.92</v>
      </c>
    </row>
    <row r="14" spans="1:6" x14ac:dyDescent="0.2">
      <c r="A14" s="3" t="s">
        <v>13</v>
      </c>
      <c r="B14" s="49">
        <v>55000</v>
      </c>
      <c r="C14" s="51">
        <v>41250.04</v>
      </c>
      <c r="D14" s="51">
        <v>4583.32</v>
      </c>
      <c r="E14" s="56">
        <v>36666.720000000001</v>
      </c>
    </row>
    <row r="15" spans="1:6" x14ac:dyDescent="0.2">
      <c r="A15" s="3" t="s">
        <v>14</v>
      </c>
      <c r="B15" s="49">
        <v>20000</v>
      </c>
      <c r="C15" s="51">
        <v>14000</v>
      </c>
      <c r="D15" s="51">
        <v>2000</v>
      </c>
      <c r="E15" s="56">
        <v>12000</v>
      </c>
    </row>
    <row r="16" spans="1:6" x14ac:dyDescent="0.2">
      <c r="A16" s="3" t="s">
        <v>15</v>
      </c>
      <c r="B16" s="49">
        <v>184000</v>
      </c>
      <c r="C16" s="51">
        <v>162400.12</v>
      </c>
      <c r="D16" s="51">
        <v>5799.94</v>
      </c>
      <c r="E16" s="56">
        <v>156600.18</v>
      </c>
    </row>
    <row r="17" spans="1:5" x14ac:dyDescent="0.2">
      <c r="A17" s="3" t="s">
        <v>16</v>
      </c>
      <c r="B17" s="49">
        <v>50000</v>
      </c>
      <c r="C17" s="51">
        <v>43333.3</v>
      </c>
      <c r="D17" s="51">
        <v>3333.35</v>
      </c>
      <c r="E17" s="56">
        <v>39999.949999999997</v>
      </c>
    </row>
    <row r="18" spans="1:5" x14ac:dyDescent="0.2">
      <c r="A18" s="3" t="s">
        <v>17</v>
      </c>
      <c r="B18" s="49">
        <v>45000</v>
      </c>
      <c r="C18" s="51">
        <v>37500.019999999997</v>
      </c>
      <c r="D18" s="51">
        <v>3749.99</v>
      </c>
      <c r="E18" s="56">
        <v>33750.03</v>
      </c>
    </row>
    <row r="19" spans="1:5" x14ac:dyDescent="0.2">
      <c r="A19" s="3" t="s">
        <v>18</v>
      </c>
      <c r="B19" s="49">
        <v>16000</v>
      </c>
      <c r="C19" s="51">
        <v>12800</v>
      </c>
      <c r="D19" s="51">
        <v>1600</v>
      </c>
      <c r="E19" s="56">
        <v>11200</v>
      </c>
    </row>
    <row r="20" spans="1:5" x14ac:dyDescent="0.2">
      <c r="A20" s="46" t="s">
        <v>32</v>
      </c>
      <c r="B20" s="47"/>
      <c r="C20" s="52">
        <v>1076201</v>
      </c>
      <c r="D20" s="52">
        <v>67066.55</v>
      </c>
      <c r="E20" s="57">
        <v>1009134.45</v>
      </c>
    </row>
    <row r="21" spans="1:5" ht="0.95" customHeight="1" x14ac:dyDescent="0.2">
      <c r="A21" s="2"/>
      <c r="B21" s="1"/>
      <c r="C21" s="50"/>
      <c r="D21" s="54"/>
      <c r="E21" s="55"/>
    </row>
    <row r="22" spans="1:5" x14ac:dyDescent="0.2">
      <c r="A22" s="3" t="s">
        <v>19</v>
      </c>
      <c r="B22" s="49">
        <v>1250000</v>
      </c>
      <c r="C22" s="51">
        <v>964236.11</v>
      </c>
      <c r="D22" s="51">
        <v>125000</v>
      </c>
      <c r="E22" s="56">
        <v>839236.11</v>
      </c>
    </row>
    <row r="23" spans="1:5" x14ac:dyDescent="0.2">
      <c r="A23" s="3" t="s">
        <v>20</v>
      </c>
      <c r="B23" s="49">
        <v>800000</v>
      </c>
      <c r="C23" s="51">
        <v>528880</v>
      </c>
      <c r="D23" s="51">
        <v>79200</v>
      </c>
      <c r="E23" s="56">
        <v>449680</v>
      </c>
    </row>
    <row r="24" spans="1:5" x14ac:dyDescent="0.2">
      <c r="A24" s="3" t="s">
        <v>21</v>
      </c>
      <c r="B24" s="49">
        <v>110000</v>
      </c>
      <c r="C24" s="51">
        <v>88000</v>
      </c>
      <c r="D24" s="51">
        <v>11000</v>
      </c>
      <c r="E24" s="56">
        <v>77000</v>
      </c>
    </row>
    <row r="25" spans="1:5" x14ac:dyDescent="0.2">
      <c r="A25" s="3" t="s">
        <v>22</v>
      </c>
      <c r="B25" s="49">
        <v>30000</v>
      </c>
      <c r="C25" s="51">
        <v>21000</v>
      </c>
      <c r="D25" s="51">
        <v>3000</v>
      </c>
      <c r="E25" s="56">
        <v>18000</v>
      </c>
    </row>
    <row r="26" spans="1:5" x14ac:dyDescent="0.2">
      <c r="A26" s="3" t="s">
        <v>44</v>
      </c>
      <c r="B26" s="49">
        <v>240000</v>
      </c>
      <c r="C26" s="51">
        <v>120000</v>
      </c>
      <c r="D26" s="51">
        <v>48000</v>
      </c>
      <c r="E26" s="56">
        <v>72000</v>
      </c>
    </row>
    <row r="27" spans="1:5" x14ac:dyDescent="0.2">
      <c r="A27" s="3" t="s">
        <v>82</v>
      </c>
      <c r="B27" s="49">
        <v>80000</v>
      </c>
      <c r="C27" s="51">
        <v>60000.08</v>
      </c>
      <c r="D27" s="51">
        <v>6666.64</v>
      </c>
      <c r="E27" s="56">
        <v>53333.440000000002</v>
      </c>
    </row>
    <row r="28" spans="1:5" x14ac:dyDescent="0.2">
      <c r="A28" s="3" t="s">
        <v>83</v>
      </c>
      <c r="B28" s="49">
        <v>13000</v>
      </c>
      <c r="C28" s="51">
        <v>3250</v>
      </c>
      <c r="D28" s="51">
        <v>3250</v>
      </c>
      <c r="E28" s="56">
        <v>0</v>
      </c>
    </row>
    <row r="29" spans="1:5" x14ac:dyDescent="0.2">
      <c r="A29" s="46" t="s">
        <v>33</v>
      </c>
      <c r="B29" s="47"/>
      <c r="C29" s="52">
        <v>1785366.19</v>
      </c>
      <c r="D29" s="52">
        <v>276116.64</v>
      </c>
      <c r="E29" s="57">
        <v>1509249.55</v>
      </c>
    </row>
    <row r="30" spans="1:5" ht="0.95" customHeight="1" x14ac:dyDescent="0.2">
      <c r="A30" s="2"/>
      <c r="B30" s="1"/>
      <c r="C30" s="50"/>
      <c r="D30" s="54"/>
      <c r="E30" s="55"/>
    </row>
    <row r="31" spans="1:5" x14ac:dyDescent="0.2">
      <c r="A31" s="3" t="s">
        <v>23</v>
      </c>
      <c r="B31" s="49">
        <v>487</v>
      </c>
      <c r="C31" s="51">
        <v>270.83</v>
      </c>
      <c r="D31" s="51">
        <v>97.4</v>
      </c>
      <c r="E31" s="56">
        <v>173.43</v>
      </c>
    </row>
    <row r="32" spans="1:5" x14ac:dyDescent="0.2">
      <c r="A32" s="3" t="s">
        <v>24</v>
      </c>
      <c r="B32" s="49">
        <v>1688.19</v>
      </c>
      <c r="C32" s="51">
        <v>1064.5</v>
      </c>
      <c r="D32" s="51">
        <v>337.64</v>
      </c>
      <c r="E32" s="56">
        <v>726.86</v>
      </c>
    </row>
    <row r="33" spans="1:8" x14ac:dyDescent="0.2">
      <c r="A33" s="3" t="s">
        <v>43</v>
      </c>
      <c r="B33" s="49">
        <v>2980</v>
      </c>
      <c r="C33" s="51">
        <v>161.66999999999999</v>
      </c>
      <c r="D33" s="51">
        <v>161.66999999999999</v>
      </c>
      <c r="E33" s="56">
        <v>0</v>
      </c>
    </row>
    <row r="34" spans="1:8" x14ac:dyDescent="0.2">
      <c r="A34" s="3" t="s">
        <v>84</v>
      </c>
      <c r="B34" s="49">
        <v>1264.8800000000001</v>
      </c>
      <c r="C34" s="51">
        <v>83.24</v>
      </c>
      <c r="D34" s="51">
        <v>83.24</v>
      </c>
      <c r="E34" s="56">
        <v>0</v>
      </c>
    </row>
    <row r="35" spans="1:8" x14ac:dyDescent="0.2">
      <c r="A35" s="46" t="s">
        <v>34</v>
      </c>
      <c r="B35" s="47"/>
      <c r="C35" s="52">
        <v>1580.24</v>
      </c>
      <c r="D35" s="52">
        <v>679.95</v>
      </c>
      <c r="E35" s="57">
        <v>900.29</v>
      </c>
    </row>
    <row r="36" spans="1:8" ht="0.95" customHeight="1" x14ac:dyDescent="0.2">
      <c r="A36" s="2"/>
      <c r="B36" s="1"/>
      <c r="C36" s="50"/>
      <c r="D36" s="54"/>
      <c r="E36" s="55"/>
    </row>
    <row r="37" spans="1:8" x14ac:dyDescent="0.2">
      <c r="A37" s="3" t="s">
        <v>25</v>
      </c>
      <c r="B37" s="49">
        <v>10000</v>
      </c>
      <c r="C37" s="51">
        <v>6455.56</v>
      </c>
      <c r="D37" s="51">
        <v>1000</v>
      </c>
      <c r="E37" s="56">
        <v>5455.56</v>
      </c>
      <c r="F37" s="11"/>
      <c r="G37" s="11"/>
      <c r="H37" s="11"/>
    </row>
    <row r="38" spans="1:8" x14ac:dyDescent="0.2">
      <c r="A38" s="3" t="s">
        <v>26</v>
      </c>
      <c r="B38" s="49">
        <v>15000</v>
      </c>
      <c r="C38" s="51">
        <v>11754.17</v>
      </c>
      <c r="D38" s="51">
        <v>1500</v>
      </c>
      <c r="E38" s="56">
        <v>10254.17</v>
      </c>
    </row>
    <row r="39" spans="1:8" x14ac:dyDescent="0.2">
      <c r="A39" s="3" t="s">
        <v>27</v>
      </c>
      <c r="B39" s="49">
        <v>6350</v>
      </c>
      <c r="C39" s="51">
        <v>4830</v>
      </c>
      <c r="D39" s="51">
        <v>600</v>
      </c>
      <c r="E39" s="56">
        <v>4230</v>
      </c>
    </row>
    <row r="40" spans="1:8" x14ac:dyDescent="0.2">
      <c r="A40" s="46" t="s">
        <v>35</v>
      </c>
      <c r="B40" s="47"/>
      <c r="C40" s="52">
        <v>23039.73</v>
      </c>
      <c r="D40" s="52">
        <v>3100</v>
      </c>
      <c r="E40" s="57">
        <v>19939.73</v>
      </c>
    </row>
    <row r="41" spans="1:8" ht="0.95" customHeight="1" x14ac:dyDescent="0.2">
      <c r="A41" s="2"/>
      <c r="B41" s="1"/>
      <c r="C41" s="50"/>
      <c r="D41" s="54"/>
      <c r="E41" s="55"/>
    </row>
    <row r="42" spans="1:8" x14ac:dyDescent="0.2">
      <c r="A42" s="3" t="s">
        <v>42</v>
      </c>
      <c r="B42" s="49">
        <v>37500</v>
      </c>
      <c r="C42" s="51">
        <v>4125</v>
      </c>
      <c r="D42" s="51">
        <v>4125</v>
      </c>
      <c r="E42" s="56">
        <v>0</v>
      </c>
    </row>
    <row r="43" spans="1:8" x14ac:dyDescent="0.2">
      <c r="A43" s="3" t="s">
        <v>86</v>
      </c>
      <c r="B43" s="49">
        <v>27200</v>
      </c>
      <c r="C43" s="51">
        <v>7583.33</v>
      </c>
      <c r="D43" s="51">
        <v>6500</v>
      </c>
      <c r="E43" s="56">
        <v>1083.33</v>
      </c>
    </row>
    <row r="44" spans="1:8" x14ac:dyDescent="0.2">
      <c r="A44" s="3" t="s">
        <v>87</v>
      </c>
      <c r="B44" s="49">
        <v>41500</v>
      </c>
      <c r="C44" s="51">
        <v>24666.67</v>
      </c>
      <c r="D44" s="51">
        <v>8000</v>
      </c>
      <c r="E44" s="56">
        <v>16666.669999999998</v>
      </c>
    </row>
    <row r="45" spans="1:8" x14ac:dyDescent="0.2">
      <c r="A45" s="3" t="s">
        <v>88</v>
      </c>
      <c r="B45" s="49">
        <v>27990</v>
      </c>
      <c r="C45" s="51">
        <v>14583.33</v>
      </c>
      <c r="D45" s="51">
        <v>5000</v>
      </c>
      <c r="E45" s="56">
        <v>9583.33</v>
      </c>
    </row>
    <row r="46" spans="1:8" x14ac:dyDescent="0.2">
      <c r="A46" s="46" t="s">
        <v>56</v>
      </c>
      <c r="B46" s="47"/>
      <c r="C46" s="52">
        <v>50958.33</v>
      </c>
      <c r="D46" s="52">
        <v>23625</v>
      </c>
      <c r="E46" s="57">
        <v>27333.33</v>
      </c>
    </row>
    <row r="47" spans="1:8" ht="0.95" customHeight="1" x14ac:dyDescent="0.2">
      <c r="A47" s="2"/>
      <c r="B47" s="1"/>
      <c r="C47" s="50"/>
      <c r="D47" s="54"/>
      <c r="E47" s="55"/>
    </row>
    <row r="48" spans="1:8" x14ac:dyDescent="0.2">
      <c r="A48" s="3" t="s">
        <v>40</v>
      </c>
      <c r="B48" s="49">
        <v>45000</v>
      </c>
      <c r="C48" s="51">
        <v>19513.75</v>
      </c>
      <c r="D48" s="51">
        <v>10050</v>
      </c>
      <c r="E48" s="56">
        <v>9463.75</v>
      </c>
    </row>
    <row r="49" spans="1:5" x14ac:dyDescent="0.2">
      <c r="A49" s="3" t="s">
        <v>41</v>
      </c>
      <c r="B49" s="49">
        <v>11345</v>
      </c>
      <c r="C49" s="51">
        <v>4981.8599999999997</v>
      </c>
      <c r="D49" s="51">
        <v>2473.75</v>
      </c>
      <c r="E49" s="56">
        <v>2508.11</v>
      </c>
    </row>
    <row r="50" spans="1:5" x14ac:dyDescent="0.2">
      <c r="A50" s="3" t="s">
        <v>45</v>
      </c>
      <c r="B50" s="49">
        <v>70000</v>
      </c>
      <c r="C50" s="51">
        <v>29166.67</v>
      </c>
      <c r="D50" s="51">
        <v>17500</v>
      </c>
      <c r="E50" s="56">
        <v>11666.67</v>
      </c>
    </row>
    <row r="51" spans="1:5" x14ac:dyDescent="0.2">
      <c r="A51" s="46" t="s">
        <v>57</v>
      </c>
      <c r="B51" s="47"/>
      <c r="C51" s="52">
        <v>53662.28</v>
      </c>
      <c r="D51" s="52">
        <v>30023.75</v>
      </c>
      <c r="E51" s="57">
        <v>23638.53</v>
      </c>
    </row>
    <row r="52" spans="1:5" ht="15" x14ac:dyDescent="0.2">
      <c r="A52" s="44" t="s">
        <v>0</v>
      </c>
      <c r="B52" s="45"/>
      <c r="C52" s="53">
        <v>2990807.77</v>
      </c>
      <c r="D52" s="53">
        <v>400611.89</v>
      </c>
      <c r="E52" s="58">
        <v>2590195.88</v>
      </c>
    </row>
    <row r="53" spans="1:5" x14ac:dyDescent="0.2">
      <c r="A53" s="12"/>
      <c r="B53" s="11"/>
      <c r="C53" s="11"/>
      <c r="D53" s="11"/>
      <c r="E53" s="11"/>
    </row>
  </sheetData>
  <mergeCells count="3">
    <mergeCell ref="A2:A5"/>
    <mergeCell ref="F2:F5"/>
    <mergeCell ref="C2:D2"/>
  </mergeCells>
  <printOptions horizontalCentered="1"/>
  <pageMargins left="0.25" right="0.25" top="0.28999999999999998" bottom="0.31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B4" sqref="B4"/>
    </sheetView>
  </sheetViews>
  <sheetFormatPr baseColWidth="10" defaultRowHeight="12.75" x14ac:dyDescent="0.2"/>
  <cols>
    <col min="1" max="1" width="15.7109375" customWidth="1"/>
    <col min="2" max="4" width="18.7109375" customWidth="1"/>
    <col min="5" max="5" width="4.5703125" customWidth="1"/>
    <col min="6" max="6" width="25.28515625" customWidth="1"/>
    <col min="7" max="7" width="13.7109375" customWidth="1"/>
    <col min="8" max="8" width="2.7109375" customWidth="1"/>
    <col min="9" max="9" width="25.28515625" customWidth="1"/>
    <col min="10" max="10" width="13.7109375" customWidth="1"/>
  </cols>
  <sheetData>
    <row r="1" spans="1:10" ht="27.75" x14ac:dyDescent="0.4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 customHeight="1" x14ac:dyDescent="0.2">
      <c r="A2" s="134" t="s">
        <v>31</v>
      </c>
      <c r="B2" s="135"/>
    </row>
    <row r="3" spans="1:10" ht="18.75" customHeight="1" x14ac:dyDescent="0.2">
      <c r="A3" s="92" t="s">
        <v>46</v>
      </c>
      <c r="B3" s="93" t="s">
        <v>37</v>
      </c>
      <c r="F3" s="68" t="s">
        <v>59</v>
      </c>
      <c r="G3" s="69" t="str">
        <f>_xll.Assistant.XL.RIK_AC("AEO36__;INF02@E=0,S=6,G=0,T=0,P=0:@R=A,S=8,V={0}:",$B$4)</f>
        <v/>
      </c>
      <c r="H3" s="70"/>
      <c r="I3" s="70"/>
      <c r="J3" s="83"/>
    </row>
    <row r="4" spans="1:10" ht="18.75" customHeight="1" x14ac:dyDescent="0.2">
      <c r="A4" s="94" t="str">
        <f>_xll.Assistant.XL.RIK_VO("AEO36_0x0_0_1_1,F=B='1',U='0',I='0',FN='Calibri',FS='10',FC='#FFFFFF',BC='#A5A5A5',AH='1',AV='1',Br=[$top-$bottom],BrS='1',BrC='#778899'_1,C=Total,F=B='1',U='0',I='0',FN='Calibri',FS='10',FC='#000000',BC='#FFFFFF',AH='1'"&amp;",AV='1',Br=[$top-$bottom],BrS='1',BrC='#778899'_0_0_0_1_D=1x1;INF02@E=0,S=8,G=0,T=0,P=0,O=NF='Texte'_B='0'_U='0'_I='0'_FN='Calibri'_FS='10'_FC='#000000'_BC='#FFFFFF'_AH='1'_AV='1'_Br=[]_BrS='0'_BrC='#FFFFFF'_WpT='0':@R=A"&amp;",S=82,V=*:R=B,S=83,V=OUI:R=C,S=86,V={0}:",$B$3)</f>
        <v/>
      </c>
      <c r="B4" s="95" t="s">
        <v>91</v>
      </c>
      <c r="F4" s="71" t="s">
        <v>58</v>
      </c>
      <c r="G4" s="74" t="str">
        <f>_xll.Assistant.XL.RIK_AC("AEO36__;INF02@E=0,S=27,G=0,T=0,P=0:@R=A,S=8,V={0}:",$B$4)</f>
        <v/>
      </c>
      <c r="H4" s="73"/>
      <c r="I4" s="73"/>
      <c r="J4" s="75"/>
    </row>
    <row r="5" spans="1:10" ht="18.75" customHeight="1" x14ac:dyDescent="0.2">
      <c r="F5" s="71" t="s">
        <v>60</v>
      </c>
      <c r="G5" s="72" t="str">
        <f>_xll.Assistant.XL.RIK_AC("AEO36__;INF02@E=0,S=12,G=0,T=0,P=0:@R=A,S=8,V={0}:",$B4)</f>
        <v/>
      </c>
      <c r="H5" s="73"/>
      <c r="I5" s="73"/>
      <c r="J5" s="75"/>
    </row>
    <row r="6" spans="1:10" ht="18.75" customHeight="1" x14ac:dyDescent="0.2">
      <c r="F6" s="71" t="s">
        <v>47</v>
      </c>
      <c r="G6" s="72" t="str">
        <f>_xll.Assistant.XL.RIK_AC("AEO36__;INF02@E=0,S=11,G=0,T=0,P=0:@R=A,S=8,V={0}:",$B$4)</f>
        <v/>
      </c>
      <c r="H6" s="73"/>
      <c r="I6" s="73"/>
      <c r="J6" s="75"/>
    </row>
    <row r="7" spans="1:10" ht="18.75" customHeight="1" x14ac:dyDescent="0.2">
      <c r="A7" t="str">
        <f>_xll.Assistant.XL.RIK_AL("AEO36__2_0_1,F=B='1',U='0',I='0',FN='Arial',FS='11',FC='#FFFFFF',BC='#4682B4',AH='2',AV='1',Br=[$top-$bottom],BrS='1',BrC='#000000'_1,C=Total,F=B='1',U='0',I='0',FN='Arial',FS='11',FC='#000000',BC='#87CEFA',AH='1',AV='1'"&amp;",Br=[$top-$bottom],BrS='1',BrC='#778899'_0_0_0_1_D=23x4;INF02@E=0,S=81,G=0,T=0,P=0,O=NF='Texte'_B='0'_U='0'_I='0'_FN='Arial'_FS='10'_FC='#000000'_BC='#FFFFFF'_AH='2'_AV='1'_Br=[$left]_BrS='1'_BrC='#000000'_WpT='1':L=Amor"&amp;"t. Economique,E=1,G=0,T=0,P=0,F=SI([71]=Economique;[77];0),Y=0,O=NF='Nombre'_B='0'_U='0'_I='0'_FN='Arial'_FS='10'_FC='#000000'_BC='#FFFFFF'_AH='2'_AV='1'_Br=[$left]_BrS='1'_BrC='#000000'_WpT='1':E=9,S=76,G=0,T=0,P=0,O=NF"&amp;"='Nombre'_B='0'_U='0'_I='0'_FN='Arial'_FS='10'_FC='#000000'_BC='#FFFFFF'_AH='3'_AV='1'_Br=[$left]_BrS='1'_BrC='#000000'_WpT='0':E=9,S=80,G=0,T=0,P=0,O=NF='Nombre'_B='0'_U='0'_I='0'_FN='Arial'_FS='10'_FC='#000000'_BC='#FF"&amp;"FFFF'_AH='3'_AV='1'_Br=[$left-$right]_BrS='1'_BrC='#000000'_WpT='0':@R=A,S=82,V=BIJOU:R=B,S=86,V={0}:R=C,S=83,V=OUI:R=D,S=8,V={1}:R=E,S=71,V=Economique:",$B$3,$B$4)</f>
        <v/>
      </c>
      <c r="F7" s="84"/>
      <c r="G7" s="73"/>
      <c r="H7" s="73"/>
      <c r="I7" s="73"/>
      <c r="J7" s="75"/>
    </row>
    <row r="8" spans="1:10" ht="30" x14ac:dyDescent="0.2">
      <c r="A8" s="64" t="s">
        <v>36</v>
      </c>
      <c r="B8" s="64" t="s">
        <v>50</v>
      </c>
      <c r="C8" s="65" t="s">
        <v>1</v>
      </c>
      <c r="D8" s="66" t="s">
        <v>2</v>
      </c>
      <c r="F8" s="133" t="s">
        <v>66</v>
      </c>
      <c r="G8" s="131"/>
      <c r="H8" s="73"/>
      <c r="I8" s="131" t="s">
        <v>67</v>
      </c>
      <c r="J8" s="132"/>
    </row>
    <row r="9" spans="1:10" x14ac:dyDescent="0.2">
      <c r="A9" s="59" t="s">
        <v>92</v>
      </c>
      <c r="B9" s="61">
        <v>27777.78</v>
      </c>
      <c r="C9" s="51">
        <v>2000000</v>
      </c>
      <c r="D9" s="56">
        <v>1972222.22</v>
      </c>
      <c r="F9" s="76" t="s">
        <v>62</v>
      </c>
      <c r="G9" s="77" t="str">
        <f>_xll.Assistant.XL.RIK_AC("AEO36__;INF02@E=0,S=100,G=0,T=0,P=0:@R=A,S=8,V={0}:",$B$4)</f>
        <v/>
      </c>
      <c r="H9" s="73"/>
      <c r="I9" s="81" t="s">
        <v>64</v>
      </c>
      <c r="J9" s="85" t="str">
        <f>_xll.Assistant.XL.RIK_AC("AEO36__;INF02@E=0,S=87,G=0,T=0,P=0:@R=A,S=8,V={0}:",$B$4)</f>
        <v/>
      </c>
    </row>
    <row r="10" spans="1:10" x14ac:dyDescent="0.2">
      <c r="A10" s="59" t="s">
        <v>93</v>
      </c>
      <c r="B10" s="61">
        <v>100000</v>
      </c>
      <c r="C10" s="51">
        <v>1972222.22</v>
      </c>
      <c r="D10" s="56">
        <v>1872222.22</v>
      </c>
      <c r="F10" s="76" t="s">
        <v>63</v>
      </c>
      <c r="G10" s="80" t="str">
        <f>_xll.Assistant.XL.RIK_AC("AEO36__;INF02@E=1,S=10,G=0,T=0,P=0:@R=A,S=8,V={0}:",$B4)</f>
        <v/>
      </c>
      <c r="H10" s="73"/>
      <c r="I10" s="82" t="s">
        <v>65</v>
      </c>
      <c r="J10" s="75"/>
    </row>
    <row r="11" spans="1:10" x14ac:dyDescent="0.2">
      <c r="A11" s="59" t="s">
        <v>94</v>
      </c>
      <c r="B11" s="61">
        <v>100000</v>
      </c>
      <c r="C11" s="51">
        <v>1872222.22</v>
      </c>
      <c r="D11" s="56">
        <v>1772222.22</v>
      </c>
      <c r="F11" s="86" t="s">
        <v>68</v>
      </c>
      <c r="G11" s="77" t="str">
        <f>_xll.Assistant.XL.RIK_AC("AEO36__;INF02@E=1,S=13,G=0,T=0,P=0:@R=A,S=8,V={0}:",$B$4)</f>
        <v/>
      </c>
      <c r="H11" s="79"/>
      <c r="I11" s="81" t="s">
        <v>69</v>
      </c>
      <c r="J11" s="87" t="str">
        <f>_xll.Assistant.XL.RIK_AC("AEO36__;INF02@E=1,S=97,G=0,T=0,P=0:@R=A,S=8,V={0}:",$B$4)</f>
        <v/>
      </c>
    </row>
    <row r="12" spans="1:10" x14ac:dyDescent="0.2">
      <c r="A12" s="59" t="s">
        <v>95</v>
      </c>
      <c r="B12" s="61">
        <v>100000</v>
      </c>
      <c r="C12" s="51">
        <v>1772222.22</v>
      </c>
      <c r="D12" s="56">
        <v>1672222.22</v>
      </c>
      <c r="F12" s="88" t="s">
        <v>48</v>
      </c>
      <c r="G12" s="89" t="str">
        <f>_xll.Assistant.XL.RIK_AC("AEO36__;INF02@E=0,S=21,G=0,T=0,P=0:@R=A,S=8,V={0}:",$B$4)</f>
        <v/>
      </c>
      <c r="H12" s="78"/>
      <c r="I12" s="90" t="s">
        <v>68</v>
      </c>
      <c r="J12" s="91" t="str">
        <f>_xll.Assistant.XL.RIK_AC("AEO36__;INF02@E=1,S=89,G=0,T=0,P=0:@R=A,S=8,V={0}:",$B$4)</f>
        <v/>
      </c>
    </row>
    <row r="13" spans="1:10" x14ac:dyDescent="0.2">
      <c r="A13" s="59" t="s">
        <v>96</v>
      </c>
      <c r="B13" s="61">
        <v>100000</v>
      </c>
      <c r="C13" s="51">
        <v>1672222.22</v>
      </c>
      <c r="D13" s="56">
        <v>1572222.22</v>
      </c>
    </row>
    <row r="14" spans="1:10" x14ac:dyDescent="0.2">
      <c r="A14" s="59" t="s">
        <v>97</v>
      </c>
      <c r="B14" s="61">
        <v>100000</v>
      </c>
      <c r="C14" s="51">
        <v>1572222.22</v>
      </c>
      <c r="D14" s="56">
        <v>1472222.22</v>
      </c>
      <c r="J14" s="14"/>
    </row>
    <row r="15" spans="1:10" x14ac:dyDescent="0.2">
      <c r="A15" s="59" t="s">
        <v>98</v>
      </c>
      <c r="B15" s="61">
        <v>100000</v>
      </c>
      <c r="C15" s="51">
        <v>1472222.22</v>
      </c>
      <c r="D15" s="56">
        <v>1372222.22</v>
      </c>
    </row>
    <row r="16" spans="1:10" x14ac:dyDescent="0.2">
      <c r="A16" s="59" t="s">
        <v>99</v>
      </c>
      <c r="B16" s="61">
        <v>100000</v>
      </c>
      <c r="C16" s="51">
        <v>1372222.22</v>
      </c>
      <c r="D16" s="56">
        <v>1272222.22</v>
      </c>
    </row>
    <row r="17" spans="1:6" x14ac:dyDescent="0.2">
      <c r="A17" s="59" t="s">
        <v>100</v>
      </c>
      <c r="B17" s="61">
        <v>100000</v>
      </c>
      <c r="C17" s="51">
        <v>1272222.22</v>
      </c>
      <c r="D17" s="56">
        <v>1172222.22</v>
      </c>
    </row>
    <row r="18" spans="1:6" x14ac:dyDescent="0.2">
      <c r="A18" s="59" t="s">
        <v>101</v>
      </c>
      <c r="B18" s="61">
        <v>100000</v>
      </c>
      <c r="C18" s="51">
        <v>1172222.22</v>
      </c>
      <c r="D18" s="56">
        <v>1072222.22</v>
      </c>
    </row>
    <row r="19" spans="1:6" x14ac:dyDescent="0.2">
      <c r="A19" s="59" t="s">
        <v>102</v>
      </c>
      <c r="B19" s="61">
        <v>100000</v>
      </c>
      <c r="C19" s="51">
        <v>1072222.22</v>
      </c>
      <c r="D19" s="56">
        <v>972222.22</v>
      </c>
    </row>
    <row r="20" spans="1:6" x14ac:dyDescent="0.2">
      <c r="A20" s="59" t="s">
        <v>103</v>
      </c>
      <c r="B20" s="61">
        <v>100000</v>
      </c>
      <c r="C20" s="51">
        <v>972222.22</v>
      </c>
      <c r="D20" s="56">
        <v>872222.22</v>
      </c>
    </row>
    <row r="21" spans="1:6" x14ac:dyDescent="0.2">
      <c r="A21" s="59" t="s">
        <v>104</v>
      </c>
      <c r="B21" s="61">
        <v>100000</v>
      </c>
      <c r="C21" s="51">
        <v>872222.22</v>
      </c>
      <c r="D21" s="56">
        <v>772222.22</v>
      </c>
    </row>
    <row r="22" spans="1:6" x14ac:dyDescent="0.2">
      <c r="A22" s="59" t="s">
        <v>105</v>
      </c>
      <c r="B22" s="61">
        <v>100000</v>
      </c>
      <c r="C22" s="51">
        <v>772222.22</v>
      </c>
      <c r="D22" s="56">
        <v>672222.22</v>
      </c>
    </row>
    <row r="23" spans="1:6" x14ac:dyDescent="0.2">
      <c r="A23" s="59" t="s">
        <v>106</v>
      </c>
      <c r="B23" s="61">
        <v>100000</v>
      </c>
      <c r="C23" s="51">
        <v>672222.22</v>
      </c>
      <c r="D23" s="56">
        <v>572222.22</v>
      </c>
    </row>
    <row r="24" spans="1:6" x14ac:dyDescent="0.2">
      <c r="A24" s="59" t="s">
        <v>107</v>
      </c>
      <c r="B24" s="61">
        <v>100000</v>
      </c>
      <c r="C24" s="51">
        <v>572222.22</v>
      </c>
      <c r="D24" s="56">
        <v>472222.22</v>
      </c>
    </row>
    <row r="25" spans="1:6" x14ac:dyDescent="0.2">
      <c r="A25" s="59" t="s">
        <v>108</v>
      </c>
      <c r="B25" s="61">
        <v>100000</v>
      </c>
      <c r="C25" s="51">
        <v>472222.22</v>
      </c>
      <c r="D25" s="56">
        <v>372222.22</v>
      </c>
    </row>
    <row r="26" spans="1:6" x14ac:dyDescent="0.2">
      <c r="A26" s="59" t="s">
        <v>109</v>
      </c>
      <c r="B26" s="61">
        <v>100000</v>
      </c>
      <c r="C26" s="51">
        <v>372222.22</v>
      </c>
      <c r="D26" s="56">
        <v>272222.21999999997</v>
      </c>
    </row>
    <row r="27" spans="1:6" x14ac:dyDescent="0.2">
      <c r="A27" s="59" t="s">
        <v>39</v>
      </c>
      <c r="B27" s="61">
        <v>100000</v>
      </c>
      <c r="C27" s="51">
        <v>272222.21999999997</v>
      </c>
      <c r="D27" s="56">
        <v>172222.22</v>
      </c>
    </row>
    <row r="28" spans="1:6" x14ac:dyDescent="0.2">
      <c r="A28" s="59" t="s">
        <v>110</v>
      </c>
      <c r="B28" s="61">
        <v>100000</v>
      </c>
      <c r="C28" s="51">
        <v>172222.22</v>
      </c>
      <c r="D28" s="56">
        <v>72222.22</v>
      </c>
    </row>
    <row r="29" spans="1:6" x14ac:dyDescent="0.2">
      <c r="A29" s="59" t="s">
        <v>5</v>
      </c>
      <c r="B29" s="61">
        <v>72222.22</v>
      </c>
      <c r="C29" s="51">
        <v>72222.22</v>
      </c>
      <c r="D29" s="56">
        <v>0</v>
      </c>
      <c r="E29" s="14"/>
      <c r="F29" s="14"/>
    </row>
    <row r="30" spans="1:6" ht="15" x14ac:dyDescent="0.2">
      <c r="A30" s="60" t="s">
        <v>0</v>
      </c>
      <c r="B30" s="62">
        <v>2000000</v>
      </c>
      <c r="C30" s="63"/>
      <c r="D30" s="67"/>
    </row>
    <row r="31" spans="1:6" x14ac:dyDescent="0.2">
      <c r="A31" s="13"/>
      <c r="B31" s="14"/>
      <c r="C31" s="14"/>
      <c r="D31" s="14"/>
    </row>
  </sheetData>
  <mergeCells count="4">
    <mergeCell ref="I8:J8"/>
    <mergeCell ref="F8:G8"/>
    <mergeCell ref="A2:B2"/>
    <mergeCell ref="A1:J1"/>
  </mergeCells>
  <pageMargins left="0.25" right="0.25" top="0.32" bottom="0.75" header="0.3" footer="0.3"/>
  <pageSetup paperSize="9" scale="9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3"/>
  <sheetViews>
    <sheetView showGridLines="0" showZeros="0" workbookViewId="0">
      <selection activeCell="F29" sqref="F29"/>
    </sheetView>
  </sheetViews>
  <sheetFormatPr baseColWidth="10" defaultRowHeight="12.75" x14ac:dyDescent="0.2"/>
  <cols>
    <col min="1" max="1" width="46.7109375" style="19" customWidth="1"/>
    <col min="2" max="2" width="18.7109375" style="19" customWidth="1"/>
    <col min="3" max="6" width="21.42578125" style="19" customWidth="1"/>
    <col min="7" max="7" width="11.5703125" style="19" bestFit="1" customWidth="1"/>
    <col min="8" max="8" width="11.28515625" style="19" bestFit="1" customWidth="1"/>
    <col min="9" max="16384" width="11.42578125" style="19"/>
  </cols>
  <sheetData>
    <row r="1" spans="1:6" ht="16.5" customHeight="1" x14ac:dyDescent="0.4">
      <c r="B1" s="20"/>
      <c r="C1" s="20"/>
      <c r="D1" s="20"/>
    </row>
    <row r="2" spans="1:6" ht="25.5" customHeight="1" x14ac:dyDescent="0.2">
      <c r="A2" s="137" t="str">
        <f>"Dotations/Reprises Amort. Dérogatoires "&amp;$D$4</f>
        <v>Dotations/Reprises Amort. Dérogatoires 2017</v>
      </c>
      <c r="C2" s="138" t="s">
        <v>31</v>
      </c>
      <c r="D2" s="139"/>
      <c r="F2" s="140" t="s">
        <v>29</v>
      </c>
    </row>
    <row r="3" spans="1:6" ht="17.25" customHeight="1" x14ac:dyDescent="0.2">
      <c r="A3" s="137"/>
      <c r="C3" s="103" t="s">
        <v>6</v>
      </c>
      <c r="D3" s="21" t="s">
        <v>37</v>
      </c>
      <c r="F3" s="140"/>
    </row>
    <row r="4" spans="1:6" ht="17.25" customHeight="1" x14ac:dyDescent="0.2">
      <c r="A4" s="137"/>
      <c r="C4" s="104" t="s">
        <v>8</v>
      </c>
      <c r="D4" s="10" t="s">
        <v>38</v>
      </c>
      <c r="F4" s="140"/>
    </row>
    <row r="5" spans="1:6" ht="24.75" customHeight="1" x14ac:dyDescent="0.2">
      <c r="A5" s="137"/>
      <c r="F5" s="140"/>
    </row>
    <row r="7" spans="1:6" x14ac:dyDescent="0.2">
      <c r="A7" s="19" t="str">
        <f>_xll.Assistant.XL.RIK_AL("AEO36__2_0_1,F=B='1',U='0',I='0',FN='Arial',FS='11',FC='#FFFFFF',BC='#4682B4',AH='2',AV='1',Br=[$top-$bottom],BrS='1',BrC='#000000'_1,C=Total,F=B='1',U='0',I='0',FN='Arial',FS='11',FC='#000000',BC='#87CEEB',AH='3',AV='1'"&amp;",Br=[$top-$bottom],BrS='1',BrC='#000000'_0_1_0_0_D=45x6;INF02@E=0,S=36,G=0_0_1_F=B='1'_U='0'_I='0'_FN='Calibri'_FS='10'_FC='#000000'_BC='#FFFFFF'_AH='1'_AV='1'_Br=[$top-$bottom]_BrS='1'_BrC='#778899'_C=Intitulé Famille_1"&amp;"_1_F=B='1'_U='0'_I='0'_FN='Arial'_FS='10'_FC='#000000'_BC='#F0FFFF'_AH='3'_AV='1'_Br=[$top-$bottom]_BrS='1'_BrC='#778899'_C=Intitulé Famille,T=0,P=0,O=NF='Texte'_B='0'_U='0'_I='0'_FN='Arial'_FS='10'_FC='#000000'_BC='#FFF"&amp;"FFF'_AH='1'_AV='1'_Br=[]_BrS='0'_BrC='#FFFFFF'_WpT='1':L=Bien Code-Intitulé,E=0,G=0,T=0,P=0,F=CONCATENER([6];{g} {g};[8]),Y=1,O=NF='Texte'_B='0'_U='0'_I='0'_FN='Arial'_FS='10'_FC='#000000'_BC='#FFFFFF'_AH='1'_AV='1'_Br=["&amp;"$left]_BrS='1'_BrC='#000000'_WpT='1':L=Valeur Acquisition,E=11,G=0,T=0,P=0,F=[10],Y=1,O=NF='Nombre'_B='0'_U='0'_I='0'_FN='Arial'_FS='10'_FC='#000000'_BC='#FFFFFF'_AH='3'_AV='1'_Br=[$right]_BrS='1'_BrC='#000000'_WpT='1':L"&amp;"=Amort. Fiscal,E=1,G=0,T=0,P=0,F=SI([71]=Fiscal;[77];0),Y=0,O=NF='Nombre'_B='0'_U='0'_I='0'_FN='Arial'_FS='10'_FC='#000000'_BC='#FFFFFF'_AH='3'_AV='1'_Br=[$left-$right]_BrS='1'_BrC='#000000'_WpT='1':L=Amort. Economique,E"&amp;"=1,G=0,T=0,P=0,F=SI([71]=Economique;[77];0),Y=0,O=NF='Nombre'_B='0'_U='0'_I='0'_FN='Arial'_FS='10'_FC='#000000'_BC='#FFFFFF'_AH='3'_AV='1'_Br=[$left-$right]_BrS='1'_BrC='#000000'_WpT='1':L=Amort. Dérogatoire,E=1,G=0,T=0,"&amp;"P=0,F=[Amort. Fiscal]-[Amort. Economique],Y=1,O=NF='Nombre'_B='0'_U='0'_I='0'_FN='Arial'_FS='10'_FC='#000000'_BC='#FFFFFF'_AH='3'_AV='1'_Br=[$left-$right]_BrS='1'_BrC='#000000'_WpT='1':L=Dotation/Reprise Amort. Dérogatoi"&amp;"re,E=0,G=0,T=0,P=0,F==SI([Amort. Dérogatoire]=0;{g}{g};SI([Amort. Dérogatoire]&gt;0;{g}Dotation{g};{g}Reprise{g})),Y=1,O=NF='Standard'_B='0'_U='0'_I='0'_FN='Calibri'_FS='10'_FC='#000000'_BC='#FFFFFF'_AH='2'_AV='1'_Br=[$left"&amp;"-$right]_BrS='1'_BrC='#000000'_WpT='1':@R=A,S=83,V=OUI:R=B,S=82,V=*:R=C,S=86,V={0}:R=D,S=81,V={1}:",$D$3,$D$4)</f>
        <v/>
      </c>
    </row>
    <row r="8" spans="1:6" ht="30" x14ac:dyDescent="0.2">
      <c r="A8" s="35" t="s">
        <v>30</v>
      </c>
      <c r="B8" s="34" t="s">
        <v>28</v>
      </c>
      <c r="C8" s="35" t="s">
        <v>49</v>
      </c>
      <c r="D8" s="35" t="s">
        <v>50</v>
      </c>
      <c r="E8" s="35" t="s">
        <v>51</v>
      </c>
      <c r="F8" s="36" t="s">
        <v>55</v>
      </c>
    </row>
    <row r="9" spans="1:6" ht="0.95" customHeight="1" x14ac:dyDescent="0.2">
      <c r="A9" s="15"/>
      <c r="B9" s="17"/>
      <c r="C9" s="25"/>
      <c r="D9" s="30"/>
      <c r="E9" s="30"/>
      <c r="F9" s="31"/>
    </row>
    <row r="10" spans="1:6" x14ac:dyDescent="0.2">
      <c r="A10" s="16" t="s">
        <v>9</v>
      </c>
      <c r="B10" s="37">
        <v>300000</v>
      </c>
      <c r="C10" s="26">
        <v>12500</v>
      </c>
      <c r="D10" s="26">
        <v>12500</v>
      </c>
      <c r="E10" s="26">
        <v>0</v>
      </c>
      <c r="F10" s="32" t="str">
        <f t="shared" ref="F10:F20" si="0">IF(E10=0,"",IF(E10&gt;0,"Dotation","Reprise"))</f>
        <v/>
      </c>
    </row>
    <row r="11" spans="1:6" x14ac:dyDescent="0.2">
      <c r="A11" s="16" t="s">
        <v>10</v>
      </c>
      <c r="B11" s="37">
        <v>450000</v>
      </c>
      <c r="C11" s="26">
        <v>22500</v>
      </c>
      <c r="D11" s="26">
        <v>22500</v>
      </c>
      <c r="E11" s="26">
        <v>0</v>
      </c>
      <c r="F11" s="32" t="str">
        <f t="shared" si="0"/>
        <v/>
      </c>
    </row>
    <row r="12" spans="1:6" x14ac:dyDescent="0.2">
      <c r="A12" s="16" t="s">
        <v>11</v>
      </c>
      <c r="B12" s="37">
        <v>225000</v>
      </c>
      <c r="C12" s="26">
        <v>7499.93</v>
      </c>
      <c r="D12" s="26">
        <v>6999.93</v>
      </c>
      <c r="E12" s="26">
        <v>500</v>
      </c>
      <c r="F12" s="32" t="str">
        <f t="shared" si="0"/>
        <v>Dotation</v>
      </c>
    </row>
    <row r="13" spans="1:6" x14ac:dyDescent="0.2">
      <c r="A13" s="16" t="s">
        <v>12</v>
      </c>
      <c r="B13" s="37">
        <v>60000</v>
      </c>
      <c r="C13" s="26">
        <v>4000.02</v>
      </c>
      <c r="D13" s="26">
        <v>4000.02</v>
      </c>
      <c r="E13" s="26">
        <v>0</v>
      </c>
      <c r="F13" s="32" t="str">
        <f t="shared" si="0"/>
        <v/>
      </c>
    </row>
    <row r="14" spans="1:6" x14ac:dyDescent="0.2">
      <c r="A14" s="16" t="s">
        <v>13</v>
      </c>
      <c r="B14" s="37">
        <v>55000</v>
      </c>
      <c r="C14" s="26">
        <v>4583.32</v>
      </c>
      <c r="D14" s="26">
        <v>4583.32</v>
      </c>
      <c r="E14" s="26">
        <v>0</v>
      </c>
      <c r="F14" s="32" t="str">
        <f t="shared" si="0"/>
        <v/>
      </c>
    </row>
    <row r="15" spans="1:6" x14ac:dyDescent="0.2">
      <c r="A15" s="16" t="s">
        <v>14</v>
      </c>
      <c r="B15" s="37">
        <v>20000</v>
      </c>
      <c r="C15" s="26">
        <v>2000</v>
      </c>
      <c r="D15" s="26">
        <v>2000</v>
      </c>
      <c r="E15" s="26">
        <v>0</v>
      </c>
      <c r="F15" s="32" t="str">
        <f t="shared" si="0"/>
        <v/>
      </c>
    </row>
    <row r="16" spans="1:6" x14ac:dyDescent="0.2">
      <c r="A16" s="16" t="s">
        <v>15</v>
      </c>
      <c r="B16" s="37">
        <v>184000</v>
      </c>
      <c r="C16" s="26">
        <v>6133.27</v>
      </c>
      <c r="D16" s="26">
        <v>5799.94</v>
      </c>
      <c r="E16" s="26">
        <v>333.33</v>
      </c>
      <c r="F16" s="32" t="str">
        <f t="shared" si="0"/>
        <v>Dotation</v>
      </c>
    </row>
    <row r="17" spans="1:6" x14ac:dyDescent="0.2">
      <c r="A17" s="16" t="s">
        <v>16</v>
      </c>
      <c r="B17" s="37">
        <v>50000</v>
      </c>
      <c r="C17" s="26">
        <v>3333.35</v>
      </c>
      <c r="D17" s="26">
        <v>3333.35</v>
      </c>
      <c r="E17" s="26">
        <v>0</v>
      </c>
      <c r="F17" s="32" t="str">
        <f t="shared" si="0"/>
        <v/>
      </c>
    </row>
    <row r="18" spans="1:6" x14ac:dyDescent="0.2">
      <c r="A18" s="16" t="s">
        <v>17</v>
      </c>
      <c r="B18" s="37">
        <v>45000</v>
      </c>
      <c r="C18" s="26">
        <v>3749.99</v>
      </c>
      <c r="D18" s="26">
        <v>3749.99</v>
      </c>
      <c r="E18" s="26">
        <v>0</v>
      </c>
      <c r="F18" s="32" t="str">
        <f t="shared" si="0"/>
        <v/>
      </c>
    </row>
    <row r="19" spans="1:6" x14ac:dyDescent="0.2">
      <c r="A19" s="16" t="s">
        <v>18</v>
      </c>
      <c r="B19" s="37">
        <v>16000</v>
      </c>
      <c r="C19" s="26">
        <v>1600</v>
      </c>
      <c r="D19" s="26">
        <v>1600</v>
      </c>
      <c r="E19" s="26">
        <v>0</v>
      </c>
      <c r="F19" s="32" t="str">
        <f t="shared" si="0"/>
        <v/>
      </c>
    </row>
    <row r="20" spans="1:6" x14ac:dyDescent="0.2">
      <c r="A20" s="27" t="s">
        <v>52</v>
      </c>
      <c r="B20" s="29"/>
      <c r="C20" s="28">
        <v>67899.88</v>
      </c>
      <c r="D20" s="28">
        <v>67066.55</v>
      </c>
      <c r="E20" s="28">
        <v>833.33</v>
      </c>
      <c r="F20" s="33" t="str">
        <f t="shared" si="0"/>
        <v>Dotation</v>
      </c>
    </row>
    <row r="21" spans="1:6" ht="0.95" customHeight="1" x14ac:dyDescent="0.2">
      <c r="A21" s="15"/>
      <c r="B21" s="17"/>
      <c r="C21" s="25"/>
      <c r="D21" s="30"/>
      <c r="E21" s="30"/>
      <c r="F21" s="31"/>
    </row>
    <row r="22" spans="1:6" x14ac:dyDescent="0.2">
      <c r="A22" s="16" t="s">
        <v>19</v>
      </c>
      <c r="B22" s="37">
        <v>1250000</v>
      </c>
      <c r="C22" s="26">
        <v>125000</v>
      </c>
      <c r="D22" s="26">
        <v>125000</v>
      </c>
      <c r="E22" s="26">
        <v>0</v>
      </c>
      <c r="F22" s="32" t="str">
        <f t="shared" ref="F22:F29" si="1">IF(E22=0,"",IF(E22&gt;0,"Dotation","Reprise"))</f>
        <v/>
      </c>
    </row>
    <row r="23" spans="1:6" x14ac:dyDescent="0.2">
      <c r="A23" s="16" t="s">
        <v>20</v>
      </c>
      <c r="B23" s="37">
        <v>800000</v>
      </c>
      <c r="C23" s="26">
        <v>76728.12</v>
      </c>
      <c r="D23" s="26">
        <v>79200</v>
      </c>
      <c r="E23" s="26">
        <v>-2471.88</v>
      </c>
      <c r="F23" s="32" t="str">
        <f t="shared" si="1"/>
        <v>Reprise</v>
      </c>
    </row>
    <row r="24" spans="1:6" x14ac:dyDescent="0.2">
      <c r="A24" s="16" t="s">
        <v>21</v>
      </c>
      <c r="B24" s="37">
        <v>110000</v>
      </c>
      <c r="C24" s="26">
        <v>14865.47</v>
      </c>
      <c r="D24" s="26">
        <v>11000</v>
      </c>
      <c r="E24" s="26">
        <v>3865.47</v>
      </c>
      <c r="F24" s="32" t="str">
        <f t="shared" si="1"/>
        <v>Dotation</v>
      </c>
    </row>
    <row r="25" spans="1:6" x14ac:dyDescent="0.2">
      <c r="A25" s="16" t="s">
        <v>22</v>
      </c>
      <c r="B25" s="37">
        <v>30000</v>
      </c>
      <c r="C25" s="26">
        <v>3142.02</v>
      </c>
      <c r="D25" s="26">
        <v>3000</v>
      </c>
      <c r="E25" s="26">
        <v>142.02000000000001</v>
      </c>
      <c r="F25" s="32" t="str">
        <f t="shared" si="1"/>
        <v>Dotation</v>
      </c>
    </row>
    <row r="26" spans="1:6" x14ac:dyDescent="0.2">
      <c r="A26" s="16" t="s">
        <v>44</v>
      </c>
      <c r="B26" s="37">
        <v>240000</v>
      </c>
      <c r="C26" s="26">
        <v>48000</v>
      </c>
      <c r="D26" s="26">
        <v>48000</v>
      </c>
      <c r="E26" s="26">
        <v>0</v>
      </c>
      <c r="F26" s="32" t="str">
        <f t="shared" si="1"/>
        <v/>
      </c>
    </row>
    <row r="27" spans="1:6" x14ac:dyDescent="0.2">
      <c r="A27" s="16" t="s">
        <v>82</v>
      </c>
      <c r="B27" s="37">
        <v>80000</v>
      </c>
      <c r="C27" s="26">
        <v>6666.64</v>
      </c>
      <c r="D27" s="26">
        <v>6666.64</v>
      </c>
      <c r="E27" s="26">
        <v>0</v>
      </c>
      <c r="F27" s="32" t="str">
        <f t="shared" si="1"/>
        <v/>
      </c>
    </row>
    <row r="28" spans="1:6" x14ac:dyDescent="0.2">
      <c r="A28" s="16" t="s">
        <v>83</v>
      </c>
      <c r="B28" s="37">
        <v>13000</v>
      </c>
      <c r="C28" s="26">
        <v>3250</v>
      </c>
      <c r="D28" s="26">
        <v>3250</v>
      </c>
      <c r="E28" s="26">
        <v>0</v>
      </c>
      <c r="F28" s="32" t="str">
        <f t="shared" si="1"/>
        <v/>
      </c>
    </row>
    <row r="29" spans="1:6" x14ac:dyDescent="0.2">
      <c r="A29" s="27" t="s">
        <v>53</v>
      </c>
      <c r="B29" s="29"/>
      <c r="C29" s="28">
        <v>277652.25</v>
      </c>
      <c r="D29" s="28">
        <v>276116.64</v>
      </c>
      <c r="E29" s="28">
        <v>1535.61</v>
      </c>
      <c r="F29" s="33" t="str">
        <f t="shared" si="1"/>
        <v>Dotation</v>
      </c>
    </row>
    <row r="30" spans="1:6" ht="0.95" customHeight="1" x14ac:dyDescent="0.2">
      <c r="A30" s="15"/>
      <c r="B30" s="17"/>
      <c r="C30" s="25"/>
      <c r="D30" s="30"/>
      <c r="E30" s="30"/>
      <c r="F30" s="31"/>
    </row>
    <row r="31" spans="1:6" x14ac:dyDescent="0.2">
      <c r="A31" s="16" t="s">
        <v>23</v>
      </c>
      <c r="B31" s="37">
        <v>487</v>
      </c>
      <c r="C31" s="26">
        <v>93.88</v>
      </c>
      <c r="D31" s="26">
        <v>97.4</v>
      </c>
      <c r="E31" s="26">
        <v>-3.52</v>
      </c>
      <c r="F31" s="32" t="str">
        <f>IF(E31=0,"",IF(E31&gt;0,"Dotation","Reprise"))</f>
        <v>Reprise</v>
      </c>
    </row>
    <row r="32" spans="1:6" x14ac:dyDescent="0.2">
      <c r="A32" s="16" t="s">
        <v>24</v>
      </c>
      <c r="B32" s="37">
        <v>1688.19</v>
      </c>
      <c r="C32" s="26">
        <v>260.83999999999997</v>
      </c>
      <c r="D32" s="26">
        <v>337.64</v>
      </c>
      <c r="E32" s="26">
        <v>-76.8</v>
      </c>
      <c r="F32" s="32" t="str">
        <f>IF(E32=0,"",IF(E32&gt;0,"Dotation","Reprise"))</f>
        <v>Reprise</v>
      </c>
    </row>
    <row r="33" spans="1:8" x14ac:dyDescent="0.2">
      <c r="A33" s="16" t="s">
        <v>43</v>
      </c>
      <c r="B33" s="37">
        <v>2980</v>
      </c>
      <c r="C33" s="26">
        <v>0</v>
      </c>
      <c r="D33" s="26">
        <v>161.66999999999999</v>
      </c>
      <c r="E33" s="26">
        <v>-161.66999999999999</v>
      </c>
      <c r="F33" s="32" t="str">
        <f>IF(E33=0,"",IF(E33&gt;0,"Dotation","Reprise"))</f>
        <v>Reprise</v>
      </c>
    </row>
    <row r="34" spans="1:8" x14ac:dyDescent="0.2">
      <c r="A34" s="16" t="s">
        <v>84</v>
      </c>
      <c r="B34" s="37">
        <v>1264.8800000000001</v>
      </c>
      <c r="C34" s="26">
        <v>0</v>
      </c>
      <c r="D34" s="26">
        <v>83.24</v>
      </c>
      <c r="E34" s="26">
        <v>-83.24</v>
      </c>
      <c r="F34" s="32" t="str">
        <f>IF(E34=0,"",IF(E34&gt;0,"Dotation","Reprise"))</f>
        <v>Reprise</v>
      </c>
    </row>
    <row r="35" spans="1:8" ht="25.5" x14ac:dyDescent="0.2">
      <c r="A35" s="27" t="s">
        <v>85</v>
      </c>
      <c r="B35" s="29"/>
      <c r="C35" s="28">
        <v>354.72</v>
      </c>
      <c r="D35" s="28">
        <v>679.95</v>
      </c>
      <c r="E35" s="28">
        <v>-325.23</v>
      </c>
      <c r="F35" s="33" t="str">
        <f>IF(E35=0,"",IF(E35&gt;0,"Dotation","Reprise"))</f>
        <v>Reprise</v>
      </c>
    </row>
    <row r="36" spans="1:8" ht="0.95" customHeight="1" x14ac:dyDescent="0.2">
      <c r="A36" s="15"/>
      <c r="B36" s="17"/>
      <c r="C36" s="25"/>
      <c r="D36" s="30"/>
      <c r="E36" s="30"/>
      <c r="F36" s="31"/>
    </row>
    <row r="37" spans="1:8" x14ac:dyDescent="0.2">
      <c r="A37" s="16" t="s">
        <v>25</v>
      </c>
      <c r="B37" s="37">
        <v>10000</v>
      </c>
      <c r="C37" s="26">
        <v>909.88</v>
      </c>
      <c r="D37" s="26">
        <v>1000</v>
      </c>
      <c r="E37" s="26">
        <v>-90.12</v>
      </c>
      <c r="F37" s="32" t="str">
        <f>IF(E37=0,"",IF(E37&gt;0,"Dotation","Reprise"))</f>
        <v>Reprise</v>
      </c>
      <c r="G37" s="22"/>
      <c r="H37" s="22"/>
    </row>
    <row r="38" spans="1:8" x14ac:dyDescent="0.2">
      <c r="A38" s="16" t="s">
        <v>26</v>
      </c>
      <c r="B38" s="37">
        <v>15000</v>
      </c>
      <c r="C38" s="26">
        <v>1951.09</v>
      </c>
      <c r="D38" s="26">
        <v>1500</v>
      </c>
      <c r="E38" s="26">
        <v>451.09</v>
      </c>
      <c r="F38" s="32" t="str">
        <f>IF(E38=0,"",IF(E38&gt;0,"Dotation","Reprise"))</f>
        <v>Dotation</v>
      </c>
    </row>
    <row r="39" spans="1:8" x14ac:dyDescent="0.2">
      <c r="A39" s="16" t="s">
        <v>27</v>
      </c>
      <c r="B39" s="37">
        <v>6350</v>
      </c>
      <c r="C39" s="26">
        <v>858.14</v>
      </c>
      <c r="D39" s="26">
        <v>600</v>
      </c>
      <c r="E39" s="26">
        <v>258.14</v>
      </c>
      <c r="F39" s="32" t="str">
        <f>IF(E39=0,"",IF(E39&gt;0,"Dotation","Reprise"))</f>
        <v>Dotation</v>
      </c>
    </row>
    <row r="40" spans="1:8" x14ac:dyDescent="0.2">
      <c r="A40" s="27" t="s">
        <v>54</v>
      </c>
      <c r="B40" s="29"/>
      <c r="C40" s="28">
        <v>3719.11</v>
      </c>
      <c r="D40" s="28">
        <v>3100</v>
      </c>
      <c r="E40" s="28">
        <v>619.11</v>
      </c>
      <c r="F40" s="33" t="str">
        <f>IF(E40=0,"",IF(E40&gt;0,"Dotation","Reprise"))</f>
        <v>Dotation</v>
      </c>
    </row>
    <row r="41" spans="1:8" ht="0.95" customHeight="1" x14ac:dyDescent="0.2">
      <c r="A41" s="15"/>
      <c r="B41" s="17"/>
      <c r="C41" s="25"/>
      <c r="D41" s="30"/>
      <c r="E41" s="30"/>
      <c r="F41" s="31"/>
    </row>
    <row r="42" spans="1:8" x14ac:dyDescent="0.2">
      <c r="A42" s="16" t="s">
        <v>42</v>
      </c>
      <c r="B42" s="37">
        <v>37500</v>
      </c>
      <c r="C42" s="26">
        <v>1237.5</v>
      </c>
      <c r="D42" s="26">
        <v>4125</v>
      </c>
      <c r="E42" s="26">
        <v>-2887.5</v>
      </c>
      <c r="F42" s="32" t="str">
        <f>IF(E42=0,"",IF(E42&gt;0,"Dotation","Reprise"))</f>
        <v>Reprise</v>
      </c>
    </row>
    <row r="43" spans="1:8" x14ac:dyDescent="0.2">
      <c r="A43" s="16" t="s">
        <v>86</v>
      </c>
      <c r="B43" s="37">
        <v>27200</v>
      </c>
      <c r="C43" s="26">
        <v>6800</v>
      </c>
      <c r="D43" s="26">
        <v>6500</v>
      </c>
      <c r="E43" s="26">
        <v>300</v>
      </c>
      <c r="F43" s="32" t="str">
        <f>IF(E43=0,"",IF(E43&gt;0,"Dotation","Reprise"))</f>
        <v>Dotation</v>
      </c>
    </row>
    <row r="44" spans="1:8" x14ac:dyDescent="0.2">
      <c r="A44" s="16" t="s">
        <v>87</v>
      </c>
      <c r="B44" s="37">
        <v>41500</v>
      </c>
      <c r="C44" s="26">
        <v>10375</v>
      </c>
      <c r="D44" s="26">
        <v>8000</v>
      </c>
      <c r="E44" s="26">
        <v>2375</v>
      </c>
      <c r="F44" s="32" t="str">
        <f>IF(E44=0,"",IF(E44&gt;0,"Dotation","Reprise"))</f>
        <v>Dotation</v>
      </c>
    </row>
    <row r="45" spans="1:8" x14ac:dyDescent="0.2">
      <c r="A45" s="16" t="s">
        <v>88</v>
      </c>
      <c r="B45" s="37">
        <v>27990</v>
      </c>
      <c r="C45" s="26">
        <v>3660</v>
      </c>
      <c r="D45" s="26">
        <v>5000</v>
      </c>
      <c r="E45" s="26">
        <v>-1340</v>
      </c>
      <c r="F45" s="32" t="str">
        <f>IF(E45=0,"",IF(E45&gt;0,"Dotation","Reprise"))</f>
        <v>Reprise</v>
      </c>
    </row>
    <row r="46" spans="1:8" x14ac:dyDescent="0.2">
      <c r="A46" s="27" t="s">
        <v>89</v>
      </c>
      <c r="B46" s="29"/>
      <c r="C46" s="28">
        <v>22072.5</v>
      </c>
      <c r="D46" s="28">
        <v>23625</v>
      </c>
      <c r="E46" s="28">
        <v>-1552.5</v>
      </c>
      <c r="F46" s="33" t="str">
        <f>IF(E46=0,"",IF(E46&gt;0,"Dotation","Reprise"))</f>
        <v>Reprise</v>
      </c>
    </row>
    <row r="47" spans="1:8" ht="0.95" customHeight="1" x14ac:dyDescent="0.2">
      <c r="A47" s="15"/>
      <c r="B47" s="17"/>
      <c r="C47" s="25"/>
      <c r="D47" s="30"/>
      <c r="E47" s="30"/>
      <c r="F47" s="31"/>
    </row>
    <row r="48" spans="1:8" x14ac:dyDescent="0.2">
      <c r="A48" s="16" t="s">
        <v>40</v>
      </c>
      <c r="B48" s="37">
        <v>45000</v>
      </c>
      <c r="C48" s="26">
        <v>13051.04</v>
      </c>
      <c r="D48" s="26">
        <v>10050</v>
      </c>
      <c r="E48" s="26">
        <v>3001.04</v>
      </c>
      <c r="F48" s="32" t="str">
        <f>IF(E48=0,"",IF(E48&gt;0,"Dotation","Reprise"))</f>
        <v>Dotation</v>
      </c>
    </row>
    <row r="49" spans="1:6" x14ac:dyDescent="0.2">
      <c r="A49" s="16" t="s">
        <v>41</v>
      </c>
      <c r="B49" s="37">
        <v>11345</v>
      </c>
      <c r="C49" s="26">
        <v>2473.75</v>
      </c>
      <c r="D49" s="26">
        <v>2473.75</v>
      </c>
      <c r="E49" s="26">
        <v>0</v>
      </c>
      <c r="F49" s="32" t="str">
        <f>IF(E49=0,"",IF(E49&gt;0,"Dotation","Reprise"))</f>
        <v/>
      </c>
    </row>
    <row r="50" spans="1:6" x14ac:dyDescent="0.2">
      <c r="A50" s="16" t="s">
        <v>45</v>
      </c>
      <c r="B50" s="37">
        <v>70000</v>
      </c>
      <c r="C50" s="26">
        <v>20902.77</v>
      </c>
      <c r="D50" s="26">
        <v>17500</v>
      </c>
      <c r="E50" s="26">
        <v>3402.77</v>
      </c>
      <c r="F50" s="32" t="str">
        <f>IF(E50=0,"",IF(E50&gt;0,"Dotation","Reprise"))</f>
        <v>Dotation</v>
      </c>
    </row>
    <row r="51" spans="1:6" x14ac:dyDescent="0.2">
      <c r="A51" s="27" t="s">
        <v>90</v>
      </c>
      <c r="B51" s="29"/>
      <c r="C51" s="28">
        <v>36427.56</v>
      </c>
      <c r="D51" s="28">
        <v>30023.75</v>
      </c>
      <c r="E51" s="28">
        <v>6403.81</v>
      </c>
      <c r="F51" s="33" t="str">
        <f>IF(E51=0,"",IF(E51&gt;0,"Dotation","Reprise"))</f>
        <v>Dotation</v>
      </c>
    </row>
    <row r="52" spans="1:6" ht="15" x14ac:dyDescent="0.2">
      <c r="A52" s="38" t="s">
        <v>0</v>
      </c>
      <c r="B52" s="39"/>
      <c r="C52" s="40">
        <v>408126.02</v>
      </c>
      <c r="D52" s="40">
        <v>400611.89</v>
      </c>
      <c r="E52" s="40">
        <v>7514.13</v>
      </c>
      <c r="F52" s="41" t="str">
        <f>IF(E52=0,"",IF(E52&gt;0,"Dotation","Reprise"))</f>
        <v>Dotation</v>
      </c>
    </row>
    <row r="53" spans="1:6" x14ac:dyDescent="0.2">
      <c r="A53" s="24"/>
      <c r="B53" s="22"/>
      <c r="C53" s="22"/>
      <c r="D53" s="22"/>
      <c r="E53" s="22"/>
      <c r="F53" s="23"/>
    </row>
  </sheetData>
  <mergeCells count="3">
    <mergeCell ref="A2:A5"/>
    <mergeCell ref="C2:D2"/>
    <mergeCell ref="F2:F5"/>
  </mergeCells>
  <printOptions horizontalCentered="1"/>
  <pageMargins left="0.23622047244094491" right="0.23622047244094491" top="0.31496062992125984" bottom="0.74803149606299213" header="0.31496062992125984" footer="0.31496062992125984"/>
  <pageSetup paperSize="9" scale="9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2.75" x14ac:dyDescent="0.2"/>
  <sheetData>
    <row r="1" spans="1:3" ht="409.5" x14ac:dyDescent="0.2">
      <c r="A1" s="18" t="s">
        <v>111</v>
      </c>
      <c r="B1" s="18" t="s">
        <v>113</v>
      </c>
      <c r="C1" s="18" t="s">
        <v>114</v>
      </c>
    </row>
    <row r="2" spans="1:3" ht="165.75" x14ac:dyDescent="0.2">
      <c r="A2" s="1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Prise en Main</vt:lpstr>
      <vt:lpstr>Tableau de bord</vt:lpstr>
      <vt:lpstr>DAP Annuelles</vt:lpstr>
      <vt:lpstr>Fiche Immobilisation</vt:lpstr>
      <vt:lpstr>Dot._Rep. Amort Dérog Annuels</vt:lpstr>
      <vt:lpstr>'DAP Annuelles'!Impression_des_titres</vt:lpstr>
      <vt:lpstr>'Dot._Rep. Amort Dérog Annuels'!Impression_des_titres</vt:lpstr>
      <vt:lpstr>'Tableau de bord'!Zone_d_impression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Elodie CORMAND</cp:lastModifiedBy>
  <cp:lastPrinted>2017-10-12T14:32:45Z</cp:lastPrinted>
  <dcterms:created xsi:type="dcterms:W3CDTF">2017-02-21T21:36:11Z</dcterms:created>
  <dcterms:modified xsi:type="dcterms:W3CDTF">2017-10-27T11:46:55Z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1366c8e9-58bf-40b3-bb15-a12f66d275a8</vt:lpwstr>
  </property>
</Properties>
</file>