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62EA9149-E963-455B-B671-B08D517B200F}" xr6:coauthVersionLast="47" xr6:coauthVersionMax="47" xr10:uidLastSave="{00000000-0000-0000-0000-000000000000}"/>
  <bookViews>
    <workbookView xWindow="-120" yWindow="-120" windowWidth="29040" windowHeight="15840" xr2:uid="{69CC6D5A-A290-434C-A29C-316CE80024EF}"/>
  </bookViews>
  <sheets>
    <sheet name="ACCUEIL" sheetId="21" r:id="rId1"/>
    <sheet name="EFFECTIFS" sheetId="1" r:id="rId2"/>
    <sheet name="ÉVOLUTION" sheetId="22" r:id="rId3"/>
    <sheet name="RÉMUNÉRATIONS" sheetId="23" r:id="rId4"/>
    <sheet name="ÉGALITÉ PROFESSIONNELLE" sheetId="24" r:id="rId5"/>
    <sheet name="RIK_PARAMS" sheetId="43" state="veryHidden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4" l="1"/>
  <c r="L6" i="22"/>
  <c r="L6" i="1"/>
  <c r="I17" i="24"/>
  <c r="D17" i="24"/>
  <c r="B1" i="1"/>
  <c r="L6" i="24"/>
  <c r="R6" i="24" s="1"/>
  <c r="F6" i="24"/>
  <c r="U5" i="24"/>
  <c r="X7" i="22"/>
  <c r="F6" i="22"/>
  <c r="D6" i="22"/>
  <c r="V5" i="22"/>
  <c r="M11" i="21"/>
  <c r="I120" i="24"/>
  <c r="D96" i="24"/>
  <c r="I22" i="24"/>
  <c r="D22" i="24"/>
  <c r="D49" i="24"/>
  <c r="C66" i="24"/>
  <c r="I67" i="24"/>
  <c r="D120" i="24"/>
  <c r="D145" i="24"/>
  <c r="C72" i="22"/>
  <c r="K166" i="22"/>
  <c r="C66" i="1"/>
  <c r="C67" i="23"/>
  <c r="G166" i="22"/>
  <c r="I67" i="23"/>
  <c r="C129" i="22"/>
  <c r="K72" i="22"/>
  <c r="I95" i="1"/>
  <c r="I44" i="23"/>
  <c r="L26" i="23"/>
  <c r="G129" i="22"/>
  <c r="D120" i="1"/>
  <c r="K100" i="22"/>
  <c r="C15" i="23"/>
  <c r="I120" i="1"/>
  <c r="G100" i="22"/>
  <c r="F67" i="23"/>
  <c r="K129" i="22"/>
  <c r="G45" i="22"/>
  <c r="G15" i="22"/>
  <c r="D49" i="1"/>
  <c r="F47" i="23"/>
  <c r="K44" i="22"/>
  <c r="C166" i="22"/>
  <c r="G15" i="23"/>
  <c r="C44" i="22"/>
  <c r="D22" i="1"/>
  <c r="D95" i="1"/>
  <c r="I67" i="1"/>
  <c r="C15" i="22"/>
  <c r="C100" i="22"/>
  <c r="I22" i="1"/>
  <c r="L67" i="23"/>
  <c r="K15" i="22"/>
  <c r="G72" i="22"/>
  <c r="K17" i="23"/>
  <c r="I13" i="24"/>
  <c r="M14" i="21"/>
  <c r="K121" i="22"/>
  <c r="K150" i="22"/>
  <c r="W5" i="22" l="1"/>
  <c r="Y5" i="22" s="1"/>
  <c r="X6" i="22"/>
  <c r="W7" i="22"/>
  <c r="Y7" i="22" s="1"/>
  <c r="X5" i="22"/>
  <c r="W6" i="22"/>
  <c r="S5" i="24"/>
  <c r="S6" i="24"/>
  <c r="B1" i="22"/>
  <c r="D13" i="24"/>
  <c r="K36" i="22"/>
  <c r="L37" i="22"/>
  <c r="V7" i="22" l="1"/>
  <c r="K178" i="22"/>
  <c r="K179" i="22"/>
  <c r="K120" i="22"/>
  <c r="K149" i="22"/>
  <c r="K64" i="22"/>
  <c r="Z7" i="22"/>
  <c r="K35" i="22"/>
  <c r="K92" i="22"/>
  <c r="Y6" i="22"/>
  <c r="V6" i="22"/>
  <c r="Z6" i="22"/>
  <c r="T5" i="24"/>
  <c r="R5" i="24"/>
  <c r="F6" i="1"/>
  <c r="D6" i="1"/>
  <c r="F6" i="23"/>
  <c r="D6" i="23"/>
  <c r="L6" i="23"/>
  <c r="C121" i="22"/>
  <c r="C150" i="22"/>
  <c r="K13" i="24"/>
  <c r="F13" i="24"/>
  <c r="G13" i="24"/>
  <c r="L13" i="24"/>
  <c r="D37" i="22"/>
  <c r="G121" i="22"/>
  <c r="C36" i="22"/>
  <c r="H37" i="22"/>
  <c r="G36" i="22"/>
  <c r="G150" i="22"/>
  <c r="C149" i="22" l="1"/>
  <c r="C35" i="22"/>
  <c r="C64" i="22"/>
  <c r="C92" i="22"/>
  <c r="C120" i="22"/>
  <c r="C179" i="22"/>
  <c r="G179" i="22"/>
  <c r="C178" i="22"/>
  <c r="E13" i="24"/>
  <c r="G178" i="22"/>
  <c r="G149" i="22"/>
  <c r="G120" i="22"/>
  <c r="G92" i="22"/>
  <c r="G64" i="22"/>
  <c r="G35" i="22"/>
  <c r="J13" i="24"/>
  <c r="R6" i="1"/>
  <c r="D17" i="1" s="1"/>
  <c r="D13" i="1"/>
  <c r="S5" i="1" l="1"/>
  <c r="R5" i="1" s="1"/>
  <c r="S6" i="1"/>
  <c r="I17" i="1" s="1"/>
  <c r="I13" i="1"/>
  <c r="T5" i="1" l="1"/>
  <c r="L17" i="1"/>
  <c r="G17" i="1"/>
  <c r="R6" i="23"/>
  <c r="S6" i="23" s="1"/>
  <c r="L13" i="1"/>
  <c r="G13" i="1"/>
  <c r="K13" i="1" l="1"/>
  <c r="F13" i="1"/>
  <c r="S5" i="23"/>
  <c r="R5" i="23" l="1"/>
  <c r="T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M11" authorId="0" shapeId="0" xr:uid="{D4CF94A8-1654-406A-910F-E6DB71C29519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M14" authorId="0" shapeId="0" xr:uid="{09C7479D-683A-47B6-A087-3D4FA364783A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  <author>Lauren QUEMARD</author>
  </authors>
  <commentList>
    <comment ref="M11" authorId="0" shapeId="0" xr:uid="{69FE624C-0859-4E7F-842F-2A8A9938AC75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M14" authorId="0" shapeId="0" xr:uid="{6A309755-626E-4ABF-B959-AA27C4F25260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D22" authorId="1" shapeId="0" xr:uid="{054AAF97-6FAC-4347-B76B-A4F6B7855F05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22" authorId="1" shapeId="0" xr:uid="{461B7BDB-29EC-42B7-8B15-BB1FE099401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49" authorId="1" shapeId="0" xr:uid="{58691D03-A26D-48B9-A21D-42A603A4A0A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66" authorId="1" shapeId="0" xr:uid="{B3479523-5A4A-4EA9-937D-EAB1A437CB2B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67" authorId="1" shapeId="0" xr:uid="{A09F0B78-1A8E-4C6F-8B72-2A06AC66AAB2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95" authorId="1" shapeId="0" xr:uid="{7A137B5C-E4B6-4334-9EA7-8694FDCBF7F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95" authorId="1" shapeId="0" xr:uid="{72E3FC37-BB17-401F-ABD2-A951A7D1922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120" authorId="1" shapeId="0" xr:uid="{4E08CC52-7CF4-4595-A266-4BEB025DC704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120" authorId="1" shapeId="0" xr:uid="{3D4BF810-4623-4D44-B306-93613F1F1FA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  <author>Lauren QUEMARD</author>
  </authors>
  <commentList>
    <comment ref="M14" authorId="0" shapeId="0" xr:uid="{EDAB51A5-4E1F-4A4B-8FCD-6CE7E0DDD02A}">
      <text>
        <r>
          <rPr>
            <b/>
            <sz val="9"/>
            <color indexed="81"/>
            <rFont val="Tahoma"/>
            <charset val="1"/>
          </rPr>
          <t>Assistant Filtre</t>
        </r>
      </text>
    </comment>
    <comment ref="C15" authorId="1" shapeId="0" xr:uid="{CBDA0995-CC20-4D27-A4B3-097F1E8C207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5" authorId="1" shapeId="0" xr:uid="{3003BBA4-3D19-4BBA-B7A4-3DD2CD2690F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15" authorId="1" shapeId="0" xr:uid="{D77C25E1-887A-4DCF-A9B2-27246155532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44" authorId="1" shapeId="0" xr:uid="{7039436C-0668-4089-9CCE-00B1FCD2F0CF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44" authorId="1" shapeId="0" xr:uid="{1CEA7967-EA66-48A3-A532-9875FE02581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45" authorId="1" shapeId="0" xr:uid="{2412D730-580F-4EC6-8E0D-9014EB6B31C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72" authorId="1" shapeId="0" xr:uid="{A44CAE4F-4EA5-41B3-94B4-A8B1F1C03E03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72" authorId="1" shapeId="0" xr:uid="{4AA6D250-7FB5-444B-9EA5-C18ED05F3736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72" authorId="1" shapeId="0" xr:uid="{DF9A6C91-1C6E-427A-9D9A-8E52F39C99C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00" authorId="1" shapeId="0" xr:uid="{E53693B1-16A3-4AC0-9E56-A37DE6EEE844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00" authorId="1" shapeId="0" xr:uid="{9905DC07-388C-4654-8A1A-097CC2490D5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100" authorId="1" shapeId="0" xr:uid="{97EB6DF8-B9F1-482F-BE8E-4B8E766B2BD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29" authorId="1" shapeId="0" xr:uid="{75E977CE-2341-4AE9-B8F5-DE56DC3CE71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29" authorId="1" shapeId="0" xr:uid="{DACD8ADA-B281-4A87-ABA0-031BE545F292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129" authorId="1" shapeId="0" xr:uid="{B5258F36-74FF-4163-B4F2-8D48DE5AC58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66" authorId="1" shapeId="0" xr:uid="{D1D30401-CF67-4429-B3DD-E37178AC18FF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G166" authorId="1" shapeId="0" xr:uid="{4B421E28-A82D-4CBF-8438-3A63FA83A932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K166" authorId="1" shapeId="0" xr:uid="{652849C3-B558-476B-8AFF-54C351329257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  <author>Anthony TARLE</author>
  </authors>
  <commentList>
    <comment ref="C15" authorId="0" shapeId="0" xr:uid="{825ACB02-9727-4862-A988-2E280E9E7DC2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5" authorId="0" shapeId="0" xr:uid="{A7C85671-E058-4E5A-B86C-5ADD9469B361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44" authorId="0" shapeId="0" xr:uid="{4B3FE879-EF43-4740-9466-2CEB3D2229E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47" authorId="0" shapeId="0" xr:uid="{58B0CC6D-823D-4B54-8BA0-0EDE43C5FAE1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67" authorId="1" shapeId="0" xr:uid="{717C7B6F-5DB7-49B2-88DC-072CB975821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67" authorId="1" shapeId="0" xr:uid="{34DE142D-1A7A-4288-933F-E15263D7E55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I67" authorId="1" shapeId="0" xr:uid="{324EC53C-C56D-4872-8D3B-9DAFBE9A2EC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L67" authorId="1" shapeId="0" xr:uid="{DFE387D1-46E1-477F-BB21-93CCA84CC91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  <author>Lauren QUEMARD</author>
  </authors>
  <commentList>
    <comment ref="M14" authorId="0" shapeId="0" xr:uid="{28C9C2B0-18DE-4CBA-AFFF-465362BF6551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D22" authorId="1" shapeId="0" xr:uid="{3AD4AA0D-9E81-4CB1-BED1-AF93703DEDC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22" authorId="1" shapeId="0" xr:uid="{EF9B7B46-E35C-4739-A45B-BF1DE7D2D4B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49" authorId="1" shapeId="0" xr:uid="{147370B1-FD75-4761-87D2-F20F86EA9789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66" authorId="1" shapeId="0" xr:uid="{40F64AD6-5456-40BB-B7EF-5B0D3B0459B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67" authorId="1" shapeId="0" xr:uid="{A7FFC653-1B19-47B0-B7ED-A7CEC9AD14A9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96" authorId="1" shapeId="0" xr:uid="{A2C636E6-9FB8-42B6-A70A-91C9FF865EB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120" authorId="1" shapeId="0" xr:uid="{05CD1300-341F-4B20-8575-6EEB2D2D9D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120" authorId="1" shapeId="0" xr:uid="{27046713-336F-4DC9-9A0A-4D65CAE8F68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145" authorId="1" shapeId="0" xr:uid="{72375541-E20D-4018-AC54-A4C6887D311F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<sst xmlns="http://schemas.openxmlformats.org/spreadsheetml/2006/main" count="120" uniqueCount="86">
  <si>
    <r>
      <t xml:space="preserve">INDICATEURS CLÉS
</t>
    </r>
    <r>
      <rPr>
        <sz val="26"/>
        <color theme="0"/>
        <rFont val="Segoe UI"/>
        <family val="2"/>
      </rPr>
      <t>Paramétrage</t>
    </r>
  </si>
  <si>
    <t>FILTRES COMMUNS A L'ENSEMBLE DU CLASSEUR</t>
  </si>
  <si>
    <t>SOCIÉTÉ - SIREN</t>
  </si>
  <si>
    <t>*</t>
  </si>
  <si>
    <t>ÉTABLISSEMENT - NIC</t>
  </si>
  <si>
    <t>DATE D'ANALYSE</t>
  </si>
  <si>
    <t>DATE DE SITUATION</t>
  </si>
  <si>
    <t>Dae de Début</t>
  </si>
  <si>
    <t>Date de Fin</t>
  </si>
  <si>
    <t>ÉVOLUTION DES EFFECTIFS PAR SEXE SUR LA PÉRIODE</t>
  </si>
  <si>
    <t>PRÉSENTES AU</t>
  </si>
  <si>
    <t>PRÉSENTS AU</t>
  </si>
  <si>
    <t>EFFECTIF FÉMININ</t>
  </si>
  <si>
    <t>EFFECTIF MASCULIN</t>
  </si>
  <si>
    <t>EFFECTIFS SUR LA PÉRIODE</t>
  </si>
  <si>
    <t>RÉPARTITION PAR AGE</t>
  </si>
  <si>
    <t>RÉPARTITION PAR ANCIENNETÉ</t>
  </si>
  <si>
    <t>RÉPARTITION PAR CATÉGORIE PROFESSIONNELLE</t>
  </si>
  <si>
    <t>RÉPARTITION PAR TYPE DE CONTRAT</t>
  </si>
  <si>
    <t>Période Courante</t>
  </si>
  <si>
    <t>Période N-1</t>
  </si>
  <si>
    <t>Période N-2</t>
  </si>
  <si>
    <t>PAR TYPE DE CONTRAT</t>
  </si>
  <si>
    <t>PAR TRANCHE D'AGE</t>
  </si>
  <si>
    <t>PAR CONVENTION</t>
  </si>
  <si>
    <t>NOMBRE D'ENTREES</t>
  </si>
  <si>
    <t>NOMBRE DE SORTIES</t>
  </si>
  <si>
    <t>TURNOVER</t>
  </si>
  <si>
    <t>ANALYSE DES RÉMUNÉRATIONS</t>
  </si>
  <si>
    <t>RÉMUNÉRATIONS BRUTES</t>
  </si>
  <si>
    <t>PAR SEXE</t>
  </si>
  <si>
    <t>PAR CONTRAT</t>
  </si>
  <si>
    <t>PAR ÉTABLISSEMENT</t>
  </si>
  <si>
    <t>CLASSEMENTS DES RÉMUNÉRATIONS</t>
  </si>
  <si>
    <t>PLUS HAUTS SALAIRES</t>
  </si>
  <si>
    <t>PLUS FAIBLES SALAIRES</t>
  </si>
  <si>
    <t>SITUATION ÉGALITÉ PROFESSIONNELLE</t>
  </si>
  <si>
    <t>ÉVOLUTION DES EFFECTIFS PAR SEXE SUR LES 3 DERNIERES ANNÉES</t>
  </si>
  <si>
    <t>ENTRÉES DANS L'ANNÉE</t>
  </si>
  <si>
    <t>SORTIES DANS L'ANNÉE</t>
  </si>
  <si>
    <t>RÉPARTITION FEMMES / HOMMES</t>
  </si>
  <si>
    <t>SALAIRE MENSUEL MOYEN PAR ETABLISSEMENT</t>
  </si>
  <si>
    <t>NOMBRE D'HEURES SUPPLÉMENTAIRES</t>
  </si>
  <si>
    <t>{_x000D_
  "Name": "CacheManager_EFFECTIFS",_x000D_
  "Column": 2,_x000D_
  "Length": 1,_x000D_
  "IsEncrypted": false_x000D_
}</t>
  </si>
  <si>
    <t>{_x000D_
  "Name": "CacheManager_ÉVOLUTION",_x000D_
  "Column": 3,_x000D_
  "Length": 1,_x000D_
  "IsEncrypted": false_x000D_
}</t>
  </si>
  <si>
    <t>{_x000D_
  "Name": "CacheManager_ÉGALITÉ PROFESSIONNELLE",_x000D_
  "Column": 4,_x000D_
  "Length": 1,_x000D_
  "IsEncrypted": false_x000D_
}</t>
  </si>
  <si>
    <t>Elément</t>
  </si>
  <si>
    <t>Rémunération brute non plafonnée</t>
  </si>
  <si>
    <t>Jecrute Aline</t>
  </si>
  <si>
    <t>Pin Julie</t>
  </si>
  <si>
    <t>Fortin Maude</t>
  </si>
  <si>
    <t>Marin Antoinette</t>
  </si>
  <si>
    <t>Gaillot Camille</t>
  </si>
  <si>
    <t>Jeune Lalie</t>
  </si>
  <si>
    <t>Belle Jeanine</t>
  </si>
  <si>
    <t>Pineau Gwénaëlle</t>
  </si>
  <si>
    <t>Mars Célia</t>
  </si>
  <si>
    <t>Solène Justine</t>
  </si>
  <si>
    <t>Demi Anouk</t>
  </si>
  <si>
    <t>Thibault Florence</t>
  </si>
  <si>
    <t>Ducerf Marjorie</t>
  </si>
  <si>
    <t>Ocarina Jennifer</t>
  </si>
  <si>
    <t>Hellébore Rose</t>
  </si>
  <si>
    <t>Dupont Stéphane</t>
  </si>
  <si>
    <t>Jeconte Louis</t>
  </si>
  <si>
    <t>Duroc Marcel</t>
  </si>
  <si>
    <t>Louette Jean-Paul</t>
  </si>
  <si>
    <t>Oronge Florian</t>
  </si>
  <si>
    <t>Atlanta Marc</t>
  </si>
  <si>
    <t>Duchef Alain</t>
  </si>
  <si>
    <t>Hervouet Anselme</t>
  </si>
  <si>
    <t>Levêque Christiane</t>
  </si>
  <si>
    <t>Duval Thierry</t>
  </si>
  <si>
    <t>Bonnefoy Patrice</t>
  </si>
  <si>
    <t>Grison Pascal</t>
  </si>
  <si>
    <t>Fontaine Arthur</t>
  </si>
  <si>
    <t>Page Maurice</t>
  </si>
  <si>
    <t>Bal Joseph</t>
  </si>
  <si>
    <t>Milou Jacques</t>
  </si>
  <si>
    <t>Berger Louis</t>
  </si>
  <si>
    <t>Durand Vincent</t>
  </si>
  <si>
    <t>Carton Blaise</t>
  </si>
  <si>
    <t>Delpuech Jacquot</t>
  </si>
  <si>
    <t>{_x000D_
  "Formulas": {_x000D_
    "=RIK_AC(\"INF54__;INF03@E=1,S=5,G=0,T=0,P=0:@R=A,S=1,V={0}:R=B,S=36,V=FEMME:R=C,S=13,V={1}:R=D,S=14,V={2}:\";D$17;$D$6;$F$6)": 1,_x000D_
    "=RIK_AC(\"INF54__;INF03@E=1,S=5,G=0,T=0,P=0:@R=A,S=1,V={0}:R=B,S=36,V=HOMME:R=C,S=13,V={1}:R=D,S=14,V={2}:\";I$17;$D$6;$F$6)": 2,_x000D_
    "=RIK_AC(\"INF54__;INF03@E=1,S=5,G=0,T=0,P=0:@R=A,S=1,V={0}:R=B,S=36,V=FEMME:R=C,S=13,V={1}:R=D,S=14,V={2}:\";G$17;$D$6;$F$6)": 3,_x000D_
    "=RIK_AC(\"INF54__;INF03@E=1,S=5,G=0,T=0,P=0:@R=A,S=1,V={0}:R=B,S=36,V=HOMME:R=C,S=13,V={1}:R=D,S=14,V={2}:\";L$17;$D$6;$F$6)": 4_x000D_
  },_x000D_
  "ItemPool": {_x000D_
    "Items": {_x000D_
      "1": {_x000D_
        "$type": "Inside.Core.Formula.Definition.DefinitionAC, Inside.Core.Formula",_x000D_
        "ID": 1,_x000D_
        "Results": [_x000D_
          [_x000D_
            15.0_x000D_
          ]_x000D_
        ],_x000D_
        "Statistics": {_x000D_
          "CreationDate": "2022-02-25T15:42:55.2931131+01:00",_x000D_
          "LastRefreshDate": "2022-02-25T15:45:57.7271955+01:00",_x000D_
          "TotalRefreshCount": 19,_x000D_
          "CustomInfo": {}_x000D_
        }_x000D_
      },_x000D_
      "2": {_x000D_
        "$type": "Inside.Core.Formula.Definition.DefinitionAC, Inside.Core.Formula",_x000D_
        "ID": 2,_x000D_
        "Results": [_x000D_
          [_x000D_
            23.0_x000D_
          ]_x000D_
        ],_x000D_
        "Statistics": {_x000D_
          "CreationDate": "2022-02-25T15:42:55.2941103+01:00",_x000D_
          "LastRefreshDate": "2022-02-25T15:45:57.7301278+01:00",_x000D_
          "TotalRefreshCount": 19,_x000D_
          "CustomInfo": {}_x000D_
        }_x000D_
      },_x000D_
      "3": {_x000D_
        "$type": "Inside.Core.Formula.Definition.DefinitionAC, Inside.Core.Formula",_x000D_
        "ID": 3,_x000D_
        "Results": [_x000D_
          [_x000D_
            15.0_x000D_
          ]_x000D_
        ],_x000D_
        "Statistics": {_x000D_
          "CreationDate": "2022-02-25T15:42:55.2941103+01:00",_x000D_
          "LastRefreshDate": "2022-02-25T15:45:57.7371657+01:00",_x000D_
          "TotalRefreshCount": 18,_x000D_
          "CustomInfo": {}_x000D_
        }_x000D_
      },_x000D_
      "4": {_x000D_
        "$type": "Inside.Core.Formula.Definition.DefinitionAC, Inside.Core.Formula",_x000D_
        "ID": 4,_x000D_
        "Results": [_x000D_
          [_x000D_
            22.0_x000D_
          ]_x000D_
        ],_x000D_
        "Statistics": {_x000D_
          "CreationDate": "2022-02-25T15:42:55.2941103+01:00",_x000D_
          "LastRefreshDate": "2022-02-25T15:45:57.7361697+01:00",_x000D_
          "TotalRefreshCount": 18,_x000D_
          "CustomInfo": {}_x000D_
        }_x000D_
      }_x000D_
    },_x000D_
    "LastID": 4_x000D_
  }_x000D_
}</t>
  </si>
  <si>
    <t>{_x000D_
  "Formulas": {_x000D_
    "=RIK_AC(\"INF54__;INF03@E=1,S=5,G=0,T=0,P=0:@R=A,S=13,V={0}:R=B,S=1,V={1}:R=C,S=14,V={2}:\";$D$6;$X$5;$F$6)": 1,_x000D_
    "=RIK_AC(\"INF54__;INF03@E=1,S=7,G=0,T=0,P=0:@R=A,S=13,V={0}:R=C,S=14,V={1}:R=C,S=4,V={2}:\";$D$6;$F$6;$V$5)": 2,_x000D_
    "=RIK_AC(\"INF54__;INF03@E=1,S=8,G=0,T=0,P=0:@R=A,S=13,V={0}:R=B,S=14,V={1}:R=C,S=4,V={2}:\";$D$6;$F$6;$V$7)": 3,_x000D_
    "=RIK_AC(\"INF54__;INF03@E=1,S=7,G=0,T=0,P=0:@R=A,S=13,V={0}:R=C,S=14,V={1}:R=C,S=4,V={2}:\";$D$6;$F$6;$V$7)": 4,_x000D_
    "=RIK_AC(\"INF54__;INF03@E=1,S=5,G=0,T=0,P=0:@R=A,S=13,V={0}:R=B,S=1,V={1}:R=C,S=14,V={2}:\";$D$6;$Y$7;$F$6)": 5,_x000D_
    "=RIK_AC(\"INF54__;INF03@E=1,S=8,G=0,T=0,P=0:@R=A,S=13,V={0}:R=B,S=14,V={1}:R=C,S=4,V={2}:\";$D$6;$F$6;$V$5)": 6,_x000D_
    "=RIK_AC(\"INF54__;INF03@E=1,S=5,G=0,T=0,P=0:@R=A,S=13,V={0}:R=B,S=1,V={1}:R=C,S=14,V={2}:\";$D$6;$Y$5;$F$6)": 7,_x000D_
    "=RIK_AC(\"INF54__;INF03@E=1,S=5,G=0,T=0,P=0:@R=A,S=13,V={0}:R=B,S=1,V={1}:R=C,S=14,V={2}:\";$D$6;$Y$6;$F$6)": 8,_x000D_
    "=RIK_AC(\"INF54__;INF03@E=1,S=5,G=0,T=0,P=0:@R=A,S=13,V={0}:R=B,S=1,V={1}:R=C,S=14,V={2}:\";$D$6;$X$7;$F$6)": 9,_x000D_
    "=RIK_AC(\"INF54__;INF03@E=1,S=5,G=0,T=0,P=0:@R=A,S=13,V={0}:R=B,S=1,V={1}:R=C,S=14,V={2}:\";$D$6;$X$6;$F$6)": 10,_x000D_
    "=RIK_AC(\"INF54__;INF03@E=1,S=8,G=0,T=0,P=0:@R=A,S=13,V={0}:R=B,S=14,V={1}:R=C,S=4,V={2}:\";$D$6;$F$6;$V$6)": 11,_x000D_
    "=RIK_AC(\"INF54__;INF03@E=1,S=7,G=0,T=0,P=0:@R=A,S=13,V={0}:R=C,S=14,V={1}:R=C,S=4,V={2}:\";$D$6;$F$6;$V$6)": 12,_x000D_
    "=RIK_AC(\"INF54__;INF03@E=1,S=5,G=0,T=0,P=0:@R=A,S=13,V={0}:R=B,S=1,V={1}:R=C,S=14,V={2}:\";$D$6;$Z$6;$F$6)": 13,_x000D_
    "=RIK_AC(\"INF54__;INF03@E=1,S=5,G=0,T=0,P=0:@R=A,S=13,V={0}:R=B,S=1,V={1}:R=C,S=14,V={2}:\";$D$6;$Z$7;$F$6)": 14_x000D_
  },_x000D_
  "ItemPool": {_x000D_
    "Items": {_x000D_
      "1": {_x000D_
        "$type": "Inside.Core.Formula.Definition.DefinitionAC, Inside.Core.Formula",_x000D_
        "ID": 1,_x000D_
        "Results": [_x000D_
          [_x000D_
            39.0_x000D_
          ]_x000D_
        ],_x000D_
        "Statistics": {_x000D_
          "CreationDate": "2022-02-25T15:42:54.7918198+01:00",_x000D_
          "LastRefreshDate": "2022-02-25T15:45:57.5739571+01:00",_x000D_
          "TotalRefreshCount": 32,_x000D_
          "CustomInfo": {}_x000D_
        }_x000D_
      },_x000D_
      "2": {_x000D_
        "$type": "Inside.Core.Formula.Definition.DefinitionAC, Inside.Core.Formula",_x000D_
        "ID": 2,_x000D_
        "Results": [_x000D_
          [_x000D_
            3.0_x000D_
          ]_x000D_
        ],_x000D_
        "Statistics": {_x000D_
          "CreationDate": "2022-02-25T15:42:54.8055433+01:00",_x000D_
          "LastRefreshDate": "2022-02-25T15:45:57.4898679+01:00",_x000D_
          "TotalRefreshCount": 18,_x000D_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"2022-02-25T15:42:54.8055433+01:00",_x000D_
          "LastRefreshDate": "2022-02-25T15:45:57.5977305+01:00",_x000D_
          "TotalRefreshCount": 21,_x000D_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"2022-02-25T15:42:54.8055433+01:00",_x000D_
          "LastRefreshDate": "2022-02-25T15:45:57.5957357+01:00",_x000D_
          "TotalRefreshCount": 21,_x000D_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"2022-02-25T15:42:54.8055433+01:00",_x000D_
          "LastRefreshDate": "2021-12-06T18:06:53.0067938+01:00",_x000D_
          "TotalRefreshCount": 7,_x000D_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"2022-02-25T15:42:54.8055433+01:00",_x000D_
          "LastRefreshDate": "2022-02-25T15:45:57.5226577+01:00",_x000D_
          "TotalRefreshCount": 18,_x000D_
          "CustomInfo": {}_x000D_
        }_x000D_
      },_x000D_
      "7": {_x000D_
        "$type": "Inside.Core.Formula.Definition.DefinitionAC, Inside.Core.Formula",_x000D_
        "ID": 7,_x000D_
        "Results": [_x000D_
          [_x000D_
            38.0_x000D_
          ]_x000D_
        ],_x000D_
        "Statistics": {_x000D_
          "CreationDate": "2022-02-25T15:42:54.8055433+01:00",_x000D_
          "LastRefreshDate": "2021-12-06T18:06:52.420942+01:00",_x000D_
          "TotalRefreshCount": 7,_x000D_
          "CustomInfo": {}_x000D_
        }_x000D_
      },_x000D_
      "8": {_x000D_
        "$type": "Inside.Core.Formula.Definition.DefinitionAC, Inside.Core.Formula",_x000D_
        "ID": 8,_x000D_
        "Results": [_x000D_
          [_x000D_
            36.0_x000D_
          ]_x000D_
        ],_x000D_
        "Statistics": {_x000D_
          "CreationDate": "2022-02-25T15:42:54.8055433+01:00",_x000D_
          "LastRefreshDate": "2021-12-06T18:06:54.0250713+01:00",_x000D_
          "TotalRefreshCount": 8,_x000D_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"2022-02-25T15:42:54.8055433+01:00",_x000D_
          "LastRefreshDate": "2021-12-06T18:06:53.1072085+01:00",_x000D_
          "TotalRefreshCount": 7,_x000D_
          "CustomInfo": {}_x000D_
        }_x000D_
      },_x000D_
      "10": {_x000D_
        "$type": "Inside.Core.Formula.Definition.DefinitionAC, Inside.Core.Formula",_x000D_
        "ID": 10,_x000D_
        "Results": [_x000D_
          [_x000D_
            36.0_x000D_
          ]_x000D_
        ],_x000D_
        "Statistics": {_x000D_
          "CreationDate": "2022-02-25T15:42:54.8055433+01:00",_x000D_
          "LastRefreshDate": "2021-12-06T18:06:53.8570614+01:00",_x000D_
          "TotalRefreshCount": 7,_x000D_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"2022-02-25T15:42:54.8055433+01:00",_x000D_
          "LastRefreshDate": "2022-02-25T15:45:57.7231454+01:00",_x000D_
          "TotalRefreshCount": 20,_x000D_
          "CustomInfo": {}_x000D_
        }_x000D_
      },_x000D_
      "12": {_x000D_
        "$type": "Inside.Core.Formula.Definition.DefinitionAC, Inside.Core.Formula",_x000D_
        "ID": 12,_x000D_
        "Results": [_x000D_
          [_x000D_
            2.0_x000D_
          ]_x000D_
        ],_x000D_
        "Statistics": {_x000D_
          "CreationDate": "2022-02-25T15:42:54.8055433+01:00",_x000D_
          "LastRefreshDate": "2022-02-25T15:45:57.7171612+01:00",_x000D_
          "TotalRefreshCount": 20,_x000D_
          "CustomInfo": {}_x000D_
        }_x000D_
      },_x000D_
      "13": {_x000D_
        "$type": "Inside.Core.Formula.Definition.DefinitionAC, Inside.Core.Formula",_x000D_
        "ID": 13,_x000D_
        "Results": [_x000D_
          [_x000D_
            36.0_x000D_
          ]_x000D_
        ],_x000D_
        "Statistics": {_x000D_
          "CreationDate": "2022-02-25T15:42:54.8055433+01:00",_x000D_
          "LastRefreshDate": "2022-02-25T15:45:57.7221478+01:00",_x000D_
          "TotalRefreshCount": 26,_x000D_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"2022-02-25T15:42:54.8055433+01:00",_x000D_
          "LastRefreshDate": "2022-02-25T15:45:57.7191556+01:00",_x000D_
          "TotalRefreshCount": 26,_x000D_
          "CustomInfo": {}_x000D_
        }_x000D_
      }_x000D_
    },_x000D_
    "LastID": 14_x000D_
  }_x000D_
}</t>
  </si>
  <si>
    <t>{_x000D_
  "Formulas": {_x000D_
    "=RIK_AC(\"INF54__;INF03@E=1,S=11,G=0,T=0,P=0:@R=A,S=13,V={0}:R=B,S=1,V={1}:R=C,S=14,V={2}:R=D,S=36,V=HOMME:\";$D$6;$L$6;$F$6)": 1,_x000D_
    "=RIK_AC(\"INF54__;INF03@E=1,S=11,G=0,T=0,P=0:@R=A,S=13,V={0}:R=B,S=1,V={1}:R=C,S=14,V={2}:R=D,S=36,V=FEMME:\";$D$6;$L$6;F$6)": 2,_x000D_
    "=RIK_AC(\"INF54__;INF03@E=1,S=5,G=0,T=0,P=0:@R=A,S=1,V={0}:R=B,S=36,V=HOMME:R=C,S=13,V={1}:R=D,S=14,V={2}:\";I$17;$D$6;$F$6)": 3,_x000D_
    "=RIK_AC(\"INF54__;INF03@E=1,S=5,G=0,T=0,P=0:@R=A,S=1,V={0}:R=B,S=36,V=FEMME:R=C,S=13,V={1}:R=D,S=14,V={2}:\";D$17;$D$6;$F$6)": 4,_x000D_
    "=RIK_AC(\"INF54__;INF03@E=1,S=12,G=0,T=0,P=0:@R=A,S=13,V={0}:R=B,S=1,V={1}:R=C,S=14,V={2}:R=D,S=36,V=HOMME:\";$D$6;$L$6;$F$6)": 5,_x000D_
    "=RIK_AC(\"INF54__;INF03@E=1,S=12,G=0,T=0,P=0:@R=A,S=13,V={0}:R=B,S=1,V={1}:R=C,S=14,V={2}:R=D,S=36,V=FEMME:\";$D$6;$L$6;$F$6)": 6,_x000D_
    "=RIK_AC(\"INF54__;INF03@E=1,S=7,G=0,T=0,P=0:@R=A,S=13,V={0}:R=C,S=14,V={1}:R=D,S=36,V=FEMME:R=D,S=4,V={2}:\";$D$6;F$6;$T$5)": 7,_x000D_
    "=RIK_AC(\"INF54__;INF03@E=1,S=8,G=0,T=0,P=0:@R=A,S=13,V={0}:R=C,S=14,V={1}:R=D,S=36,V=FEMME:R=D,S=4,V={2}:\";$D$6;$F$6;$T$5)": 8,_x000D_
    "=RIK_AC(\"INF54__;INF03@E=1,S=8,G=0,T=0,P=0:@R=A,S=13,V={0}:R=C,S=14,V={1}:R=D,S=36,V=HOMME:R=D,S=4,V={2}:\";$D$6;$F$6;$T$5)": 9,_x000D_
    "=RIK_AC(\"INF54__;INF03@E=1,S=8,G=0,T=0,P=0:@R=A,S=13,V={0}:R=B,S=14,V={1}:R=C,S=36,V=HOMME:R=D,S=4,V={2}:\";$D$6;$F$6;$T$5)": 10,_x000D_
    "=RIK_AC(\"INF54__;INF03@E=1,S=7,G=0,T=0,P=0:@R=A,S=13,V={0}:R=B,S=14,V={1}:R=C,S=36,V=HOMME:R=D,S=4,V={2}:\";$D$6;$F$6;$T$5)": 11_x000D_
  },_x000D_
  "ItemPool": {_x000D_
    "Items": {_x000D_
      "1": {_x000D_
        "$type": "Inside.Core.Formula.Definition.DefinitionAC, Inside.Core.Formula",_x000D_
        "ID": 1,_x000D_
        "Results": [_x000D_
          [_x000D_
            2.0_x000D_
          ]_x000D_
        ],_x000D_
        "Statistics": {_x000D_
          "CreationDate": "2022-02-25T15:44:32.1455977+01:00",_x000D_
          "LastRefreshDate": "2021-12-01T12:21:12.6403141+01:00",_x000D_
          "TotalRefreshCount": 7,_x000D_
          "CustomInfo": {}_x000D_
        }_x000D_
      },_x000D_
      "2": {_x000D_
        "$type": "Inside.Core.Formula.Definition.DefinitionAC, Inside.Core.Formula",_x000D_
        "ID": 2,_x000D_
        "Results": [_x000D_
          [_x000D_
            5.0_x000D_
          ]_x000D_
        ],_x000D_
        "Statistics": {_x000D_
          "CreationDate": "2022-02-25T15:44:32.1455977+01:00",_x000D_
          "LastRefreshDate": "2021-12-01T12:21:12.6749059+01:00",_x000D_
          "TotalRefreshCount": 7,_x000D_
          "CustomInfo": {}_x000D_
        }_x000D_
      },_x000D_
      "3": {_x000D_
        "$type": "Inside.Core.Formula.Definition.DefinitionAC, Inside.Core.Formula",_x000D_
        "ID": 3,_x000D_
        "Results": [_x000D_
          [_x000D_
            23.0_x000D_
          ]_x000D_
        ],_x000D_
        "Statistics": {_x000D_
          "CreationDate": "2022-02-25T15:44:32.1455977+01:00",_x000D_
          "LastRefreshDate": "2022-02-25T15:45:57.4580198+01:00",_x000D_
          "TotalRefreshCount": 21,_x000D_
          "CustomInfo": {}_x000D_
        }_x000D_
      },_x000D_
      "4": {_x000D_
        "$type": "Inside.Core.Formula.Definition.DefinitionAC, Inside.Core.Formula",_x000D_
        "ID": 4,_x000D_
        "Results": [_x000D_
          [_x000D_
            15.0_x000D_
          ]_x000D_
        ],_x000D_
        "Statistics": {_x000D_
          "CreationDate": "2022-02-25T15:44:32.1455977+01:00",_x000D_
          "LastRefreshDate": "2022-02-25T15:45:57.5318361+01:00",_x000D_
          "TotalRefreshCount": 21,_x000D_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"2022-02-25T15:44:32.1455977+01:00",_x000D_
          "LastRefreshDate": "2021-12-01T12:21:12.7078542+01:00",_x000D_
          "TotalRefreshCount": 7,_x000D_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"2022-02-25T15:44:32.1455977+01:00",_x000D_
          "LastRefreshDate": "2021-12-01T12:21:12.7409808+01:00",_x000D_
          "TotalRefreshCount": 7,_x000D_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"2022-02-25T15:44:32.1455977+01:00",_x000D_
          "LastRefreshDate": "2022-02-25T15:45:57.6563108+01:00",_x000D_
          "TotalRefreshCount": 14,_x000D_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"2022-02-25T15:44:32.1455977+01:00",_x000D_
          "LastRefreshDate": "2022-02-25T15:45:57.6852358+01:00",_x000D_
          "TotalRefreshCount": 14,_x000D_
          "CustomInfo": {}_x000D_
        }_x000D_
      },_x000D_
      "9": {_x000D_
        "$type": "Inside.Core.Formula.Definition.DefinitionAC, Inside.Core.Formula",_x000D_
        "ID": 9,_x000D_
        "Results": [_x000D_
          [_x000D_
            3.0_x000D_
          ]_x000D_
        ],_x000D_
        "Statistics": {_x000D_
          "CreationDate": "2022-02-25T15:44:32.1455977+01:00",_x000D_
          "LastRefreshDate": "2021-12-01T14:10:56.579018+01:00",_x000D_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"2022-02-25T15:44:32.1455977+01:00",_x000D_
          "LastRefreshDate": "2022-02-25T15:45:57.7141694+01:00",_x000D_
          "TotalRefreshCount": 14,_x000D_
          "CustomInfo": {}_x000D_
        }_x000D_
      },_x000D_
      "11": {_x000D_
        "$type": "Inside.Core.Formula.Definition.DefinitionAC, Inside.Core.Formula",_x000D_
        "ID": 11,_x000D_
        "Results": [_x000D_
          [_x000D_
            3.0_x000D_
          ]_x000D_
        ],_x000D_
        "Statistics": {_x000D_
          "CreationDate": "2022-02-25T15:44:32.1455977+01:00",_x000D_
          "LastRefreshDate": "2022-02-25T15:45:57.626653+01:00",_x000D_
          "TotalRefreshCount": 14,_x000D_
          "CustomInfo": {}_x000D_
        }_x000D_
      }_x000D_
    },_x000D_
    "LastID": 11_x000D_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</si>
</sst>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\+0.00%;\-0.00%"/>
    <numFmt numFmtId="166" formatCode="0.0"/>
    <numFmt numFmtId="167" formatCode="0_ ;\-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24"/>
      <color rgb="FF08769C"/>
      <name val="Segoe UI Light"/>
      <family val="2"/>
    </font>
    <font>
      <b/>
      <sz val="28"/>
      <color rgb="FF08769C"/>
      <name val="Segoe UI"/>
      <family val="2"/>
    </font>
    <font>
      <i/>
      <sz val="13"/>
      <color theme="1"/>
      <name val="Segoe UI Light"/>
      <family val="2"/>
    </font>
    <font>
      <sz val="12"/>
      <color rgb="FF08769C"/>
      <name val="Segoe UI Light"/>
      <family val="2"/>
    </font>
    <font>
      <b/>
      <sz val="12"/>
      <color rgb="FF08769C"/>
      <name val="Segoe UI"/>
      <family val="2"/>
    </font>
    <font>
      <b/>
      <sz val="14"/>
      <color theme="0"/>
      <name val="Segoe UI"/>
      <family val="2"/>
    </font>
    <font>
      <b/>
      <sz val="24"/>
      <color theme="0"/>
      <name val="Segoe UI"/>
      <family val="2"/>
    </font>
    <font>
      <b/>
      <sz val="12"/>
      <color rgb="FFF59C00"/>
      <name val="Segoe UI"/>
      <family val="2"/>
    </font>
    <font>
      <b/>
      <sz val="28"/>
      <color rgb="FFF59C00"/>
      <name val="Segoe UI"/>
      <family val="2"/>
    </font>
    <font>
      <sz val="12"/>
      <color rgb="FFF59C00"/>
      <name val="Segoe UI Light"/>
      <family val="2"/>
    </font>
    <font>
      <sz val="24"/>
      <color rgb="FFF59C00"/>
      <name val="Segoe UI Light"/>
      <family val="2"/>
    </font>
    <font>
      <b/>
      <sz val="13"/>
      <color theme="0"/>
      <name val="Segoe UI"/>
      <family val="2"/>
    </font>
    <font>
      <b/>
      <sz val="12"/>
      <color theme="0"/>
      <name val="Segoe UI"/>
      <family val="2"/>
    </font>
    <font>
      <sz val="22"/>
      <color rgb="FF08769C"/>
      <name val="Segoe UI Light"/>
      <family val="2"/>
    </font>
    <font>
      <sz val="22"/>
      <color rgb="FFF59C00"/>
      <name val="Segoe UI Light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26"/>
      <color theme="0"/>
      <name val="Segoe UI"/>
      <family val="2"/>
    </font>
    <font>
      <b/>
      <sz val="14"/>
      <color theme="1"/>
      <name val="Segoe UI"/>
      <family val="2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8769C"/>
      <name val="Segoe UI"/>
      <family val="2"/>
    </font>
    <font>
      <sz val="11"/>
      <color rgb="FFF59C50"/>
      <name val="Segoe UI"/>
      <family val="2"/>
    </font>
    <font>
      <sz val="11"/>
      <color rgb="FFF59C00"/>
      <name val="Segoe UI"/>
      <family val="2"/>
    </font>
    <font>
      <sz val="26"/>
      <color theme="0"/>
      <name val="Segoe UI"/>
      <family val="2"/>
    </font>
    <font>
      <sz val="11"/>
      <color theme="0"/>
      <name val="Calibri"/>
      <family val="2"/>
      <scheme val="minor"/>
    </font>
    <font>
      <b/>
      <sz val="11"/>
      <color rgb="FF08769C"/>
      <name val="Segoe UI"/>
      <family val="2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08769C"/>
        <bgColor indexed="64"/>
      </patternFill>
    </fill>
    <fill>
      <patternFill patternType="solid">
        <fgColor rgb="FFF59C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/>
      <bottom style="dotted">
        <color theme="2" tint="-0.499984740745262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5" fontId="12" fillId="0" borderId="14" xfId="1" applyNumberFormat="1" applyFont="1" applyBorder="1" applyAlignment="1" applyProtection="1">
      <alignment horizontal="center" vertical="center"/>
      <protection hidden="1"/>
    </xf>
    <xf numFmtId="14" fontId="12" fillId="0" borderId="17" xfId="1" applyNumberFormat="1" applyFont="1" applyBorder="1" applyAlignment="1" applyProtection="1">
      <alignment horizontal="center" vertical="center"/>
      <protection hidden="1"/>
    </xf>
    <xf numFmtId="165" fontId="10" fillId="0" borderId="13" xfId="1" applyNumberFormat="1" applyFont="1" applyBorder="1" applyAlignment="1" applyProtection="1">
      <alignment horizontal="center" vertical="center"/>
      <protection hidden="1"/>
    </xf>
    <xf numFmtId="165" fontId="12" fillId="0" borderId="15" xfId="1" applyNumberFormat="1" applyFont="1" applyBorder="1" applyAlignment="1" applyProtection="1">
      <alignment horizontal="center" vertical="center"/>
      <protection hidden="1"/>
    </xf>
    <xf numFmtId="165" fontId="7" fillId="0" borderId="13" xfId="1" applyNumberFormat="1" applyFont="1" applyBorder="1" applyAlignment="1" applyProtection="1">
      <alignment horizontal="center" vertical="center"/>
      <protection hidden="1"/>
    </xf>
    <xf numFmtId="14" fontId="6" fillId="0" borderId="15" xfId="1" applyNumberFormat="1" applyFont="1" applyBorder="1" applyAlignment="1" applyProtection="1">
      <alignment horizontal="center" vertical="center"/>
      <protection hidden="1"/>
    </xf>
    <xf numFmtId="165" fontId="6" fillId="0" borderId="14" xfId="1" applyNumberFormat="1" applyFont="1" applyBorder="1" applyAlignment="1" applyProtection="1">
      <alignment horizontal="center" vertical="center"/>
      <protection hidden="1"/>
    </xf>
    <xf numFmtId="14" fontId="6" fillId="0" borderId="17" xfId="1" applyNumberFormat="1" applyFont="1" applyBorder="1" applyAlignment="1" applyProtection="1">
      <alignment horizontal="center" vertical="center"/>
      <protection hidden="1"/>
    </xf>
    <xf numFmtId="0" fontId="14" fillId="5" borderId="0" xfId="0" applyFont="1" applyFill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22" fillId="0" borderId="0" xfId="0" applyFont="1"/>
    <xf numFmtId="14" fontId="22" fillId="0" borderId="0" xfId="0" applyNumberFormat="1" applyFont="1"/>
    <xf numFmtId="0" fontId="0" fillId="0" borderId="25" xfId="0" applyBorder="1"/>
    <xf numFmtId="4" fontId="24" fillId="8" borderId="0" xfId="0" applyNumberFormat="1" applyFont="1" applyFill="1" applyAlignment="1">
      <alignment horizontal="right" vertical="center"/>
    </xf>
    <xf numFmtId="0" fontId="24" fillId="8" borderId="0" xfId="0" applyFont="1" applyFill="1" applyAlignment="1">
      <alignment horizontal="left" vertical="center"/>
    </xf>
    <xf numFmtId="0" fontId="19" fillId="2" borderId="20" xfId="0" applyFont="1" applyFill="1" applyBorder="1" applyAlignment="1">
      <alignment horizontal="center" vertical="center"/>
    </xf>
    <xf numFmtId="0" fontId="29" fillId="0" borderId="0" xfId="0" applyFont="1"/>
    <xf numFmtId="0" fontId="24" fillId="8" borderId="0" xfId="0" applyFont="1" applyFill="1" applyAlignment="1">
      <alignment horizontal="right" vertical="center"/>
    </xf>
    <xf numFmtId="0" fontId="30" fillId="2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horizontal="left" vertical="center" indent="2"/>
    </xf>
    <xf numFmtId="49" fontId="18" fillId="0" borderId="20" xfId="0" applyNumberFormat="1" applyFont="1" applyBorder="1" applyAlignment="1">
      <alignment horizontal="left" vertical="center" indent="2"/>
    </xf>
    <xf numFmtId="0" fontId="24" fillId="8" borderId="0" xfId="0" applyNumberFormat="1" applyFont="1" applyFill="1" applyAlignment="1">
      <alignment horizontal="left" vertical="center"/>
    </xf>
    <xf numFmtId="14" fontId="12" fillId="0" borderId="15" xfId="1" applyNumberFormat="1" applyFont="1" applyBorder="1" applyAlignment="1" applyProtection="1">
      <alignment horizontal="center" vertical="center"/>
      <protection hidden="1"/>
    </xf>
    <xf numFmtId="14" fontId="18" fillId="0" borderId="20" xfId="0" applyNumberFormat="1" applyFont="1" applyBorder="1" applyAlignment="1">
      <alignment horizontal="left" vertical="center" indent="2"/>
    </xf>
    <xf numFmtId="14" fontId="18" fillId="0" borderId="21" xfId="0" applyNumberFormat="1" applyFont="1" applyBorder="1" applyAlignment="1">
      <alignment horizontal="left" vertical="center" indent="2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4" fillId="0" borderId="10" xfId="1" applyNumberFormat="1" applyFont="1" applyBorder="1" applyAlignment="1" applyProtection="1">
      <alignment horizontal="center" vertical="center"/>
      <protection hidden="1"/>
    </xf>
    <xf numFmtId="164" fontId="4" fillId="0" borderId="13" xfId="1" applyNumberFormat="1" applyFont="1" applyBorder="1" applyAlignment="1" applyProtection="1">
      <alignment horizontal="center" vertical="center"/>
      <protection hidden="1"/>
    </xf>
    <xf numFmtId="165" fontId="16" fillId="0" borderId="12" xfId="2" applyNumberFormat="1" applyFont="1" applyBorder="1" applyAlignment="1">
      <alignment horizontal="center" vertical="center"/>
    </xf>
    <xf numFmtId="165" fontId="16" fillId="0" borderId="14" xfId="2" applyNumberFormat="1" applyFont="1" applyBorder="1" applyAlignment="1">
      <alignment horizontal="center" vertical="center"/>
    </xf>
    <xf numFmtId="165" fontId="16" fillId="0" borderId="17" xfId="2" applyNumberFormat="1" applyFont="1" applyBorder="1" applyAlignment="1">
      <alignment horizontal="center" vertical="center"/>
    </xf>
    <xf numFmtId="164" fontId="3" fillId="0" borderId="12" xfId="1" applyNumberFormat="1" applyFont="1" applyBorder="1" applyAlignment="1" applyProtection="1">
      <alignment horizontal="center" vertical="center"/>
      <protection hidden="1"/>
    </xf>
    <xf numFmtId="164" fontId="3" fillId="0" borderId="14" xfId="1" applyNumberFormat="1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64" fontId="11" fillId="0" borderId="10" xfId="1" applyNumberFormat="1" applyFont="1" applyBorder="1" applyAlignment="1" applyProtection="1">
      <alignment horizontal="center" vertical="center"/>
      <protection hidden="1"/>
    </xf>
    <xf numFmtId="164" fontId="11" fillId="0" borderId="13" xfId="1" applyNumberFormat="1" applyFont="1" applyBorder="1" applyAlignment="1" applyProtection="1">
      <alignment horizontal="center" vertical="center"/>
      <protection hidden="1"/>
    </xf>
    <xf numFmtId="165" fontId="17" fillId="0" borderId="12" xfId="2" applyNumberFormat="1" applyFont="1" applyBorder="1" applyAlignment="1">
      <alignment horizontal="center" vertical="center"/>
    </xf>
    <xf numFmtId="165" fontId="17" fillId="0" borderId="14" xfId="2" applyNumberFormat="1" applyFont="1" applyBorder="1" applyAlignment="1">
      <alignment horizontal="center" vertical="center"/>
    </xf>
    <xf numFmtId="165" fontId="17" fillId="0" borderId="17" xfId="2" applyNumberFormat="1" applyFont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164" fontId="13" fillId="0" borderId="12" xfId="1" applyNumberFormat="1" applyFont="1" applyBorder="1" applyAlignment="1" applyProtection="1">
      <alignment horizontal="center" vertical="center"/>
      <protection hidden="1"/>
    </xf>
    <xf numFmtId="164" fontId="13" fillId="0" borderId="14" xfId="1" applyNumberFormat="1" applyFont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23" fillId="0" borderId="22" xfId="0" applyNumberFormat="1" applyFont="1" applyBorder="1" applyAlignment="1">
      <alignment horizontal="center" vertical="center"/>
    </xf>
    <xf numFmtId="166" fontId="23" fillId="0" borderId="23" xfId="0" applyNumberFormat="1" applyFont="1" applyBorder="1" applyAlignment="1">
      <alignment horizontal="center" vertical="center"/>
    </xf>
    <xf numFmtId="166" fontId="23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7" borderId="0" xfId="0" applyFont="1" applyFill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9" fontId="16" fillId="0" borderId="10" xfId="1" applyFont="1" applyBorder="1" applyAlignment="1">
      <alignment horizontal="center" vertical="center"/>
    </xf>
    <xf numFmtId="9" fontId="16" fillId="0" borderId="13" xfId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9" fontId="17" fillId="0" borderId="10" xfId="1" applyFont="1" applyBorder="1" applyAlignment="1">
      <alignment horizontal="center" vertical="center"/>
    </xf>
    <xf numFmtId="9" fontId="17" fillId="0" borderId="13" xfId="1" applyFont="1" applyBorder="1" applyAlignment="1">
      <alignment horizontal="center" vertical="center"/>
    </xf>
    <xf numFmtId="1" fontId="16" fillId="0" borderId="26" xfId="1" applyNumberFormat="1" applyFont="1" applyBorder="1" applyAlignment="1">
      <alignment horizontal="center" vertical="center"/>
    </xf>
    <xf numFmtId="1" fontId="16" fillId="0" borderId="27" xfId="1" applyNumberFormat="1" applyFont="1" applyBorder="1" applyAlignment="1">
      <alignment horizontal="center" vertical="center"/>
    </xf>
    <xf numFmtId="165" fontId="25" fillId="0" borderId="27" xfId="2" applyNumberFormat="1" applyFont="1" applyBorder="1" applyAlignment="1">
      <alignment horizontal="center" vertical="center" wrapText="1"/>
    </xf>
    <xf numFmtId="165" fontId="25" fillId="0" borderId="28" xfId="2" applyNumberFormat="1" applyFont="1" applyBorder="1" applyAlignment="1">
      <alignment horizontal="center" vertical="center" wrapText="1"/>
    </xf>
    <xf numFmtId="165" fontId="27" fillId="0" borderId="27" xfId="1" applyNumberFormat="1" applyFont="1" applyBorder="1" applyAlignment="1" applyProtection="1">
      <alignment horizontal="center" vertical="center" wrapText="1"/>
      <protection hidden="1"/>
    </xf>
    <xf numFmtId="165" fontId="27" fillId="0" borderId="28" xfId="1" applyNumberFormat="1" applyFont="1" applyBorder="1" applyAlignment="1" applyProtection="1">
      <alignment horizontal="center" vertical="center" wrapText="1"/>
      <protection hidden="1"/>
    </xf>
    <xf numFmtId="167" fontId="17" fillId="0" borderId="26" xfId="2" applyNumberFormat="1" applyFont="1" applyBorder="1" applyAlignment="1">
      <alignment horizontal="center" vertical="center"/>
    </xf>
    <xf numFmtId="167" fontId="17" fillId="0" borderId="27" xfId="2" applyNumberFormat="1" applyFont="1" applyBorder="1" applyAlignment="1">
      <alignment horizontal="center" vertical="center"/>
    </xf>
    <xf numFmtId="165" fontId="27" fillId="0" borderId="27" xfId="2" applyNumberFormat="1" applyFont="1" applyBorder="1" applyAlignment="1">
      <alignment horizontal="center" vertical="center" wrapText="1"/>
    </xf>
    <xf numFmtId="165" fontId="27" fillId="0" borderId="28" xfId="2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</cellXfs>
  <cellStyles count="3">
    <cellStyle name="Normal" xfId="0" builtinId="0"/>
    <cellStyle name="Normal 3" xfId="2" xr:uid="{80C8D347-28D5-4AF1-920F-886647F297A0}"/>
    <cellStyle name="Pourcentage" xfId="1" builtinId="5"/>
  </cellStyles>
  <dxfs count="0"/>
  <tableStyles count="0" defaultTableStyle="TableStyleMedium2" defaultPivotStyle="PivotStyleLight16"/>
  <colors>
    <mruColors>
      <color rgb="FF08769C"/>
      <color rgb="FFF59C00"/>
      <color rgb="FFF59C50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Présent</c:v>
          </c:tx>
          <c:spPr>
            <a:solidFill>
              <a:srgbClr val="F59C00"/>
            </a:solidFill>
            <a:scene3d>
              <a:camera prst="orthographicFront"/>
              <a:lightRig rig="threePt" dir="t"/>
            </a:scene3d>
            <a:sp3d prstMaterial="metal">
              <a:bevelT w="38100" h="57150"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22</c:v>
              </c:pt>
              <c:pt idx="1">
                <c:v>22</c:v>
              </c:pt>
              <c:pt idx="2">
                <c:v>22</c:v>
              </c:pt>
              <c:pt idx="3">
                <c:v>23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D29B-42B4-8B85-C2C3A985F3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axId val="590893247"/>
        <c:axId val="5908919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0DFE-455F-90FE-CECF152E7565}"/>
                  </c:ext>
                </c:extLst>
              </c15:ser>
            </c15:filteredBarSeries>
          </c:ext>
        </c:extLst>
      </c:barChart>
      <c:catAx>
        <c:axId val="59089324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i="1"/>
            </a:pPr>
            <a:endParaRPr lang="fr-FR"/>
          </a:p>
        </c:txPr>
        <c:crossAx val="590891999"/>
        <c:crosses val="autoZero"/>
        <c:auto val="1"/>
        <c:lblAlgn val="ctr"/>
        <c:lblOffset val="100"/>
        <c:noMultiLvlLbl val="0"/>
      </c:catAx>
      <c:valAx>
        <c:axId val="590891999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59089324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7A425"/>
            </a:solidFill>
            <a:scene3d>
              <a:camera prst="orthographicFront"/>
              <a:lightRig rig="threePt" dir="t"/>
            </a:scene3d>
            <a:sp3d>
              <a:bevelT w="139700" h="139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8F-4F9E-8816-D7CCE38F80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9000367"/>
        <c:axId val="1039004943"/>
      </c:barChart>
      <c:catAx>
        <c:axId val="10390003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39004943"/>
        <c:crosses val="autoZero"/>
        <c:auto val="1"/>
        <c:lblAlgn val="ctr"/>
        <c:lblOffset val="100"/>
        <c:noMultiLvlLbl val="0"/>
      </c:catAx>
      <c:valAx>
        <c:axId val="1039004943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03900036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7A425"/>
            </a:solidFill>
            <a:scene3d>
              <a:camera prst="orthographicFront"/>
              <a:lightRig rig="contrasting" dir="t">
                <a:rot lat="0" lon="0" rev="7800000"/>
              </a:lightRig>
            </a:scene3d>
            <a:sp3d>
              <a:bevelT w="139700" h="139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Contrat de travail à durée indéterminée de droit privé</c:v>
              </c:pt>
            </c:strLit>
          </c:cat>
          <c:val>
            <c:numLit>
              <c:formatCode>General</c:formatCode>
              <c:ptCount val="1"/>
              <c:pt idx="0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08C1-4365-A656-88FCD3875B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4856607"/>
        <c:axId val="1604863679"/>
      </c:barChart>
      <c:catAx>
        <c:axId val="160485660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604863679"/>
        <c:crosses val="autoZero"/>
        <c:auto val="1"/>
        <c:lblAlgn val="ctr"/>
        <c:lblOffset val="100"/>
        <c:noMultiLvlLbl val="0"/>
      </c:catAx>
      <c:valAx>
        <c:axId val="1604863679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0485660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7A425"/>
            </a:solidFill>
            <a:scene3d>
              <a:camera prst="orthographicFront"/>
              <a:lightRig rig="contrasting" dir="t">
                <a:rot lat="0" lon="0" rev="7800000"/>
              </a:lightRig>
            </a:scene3d>
            <a:sp3d>
              <a:bevelT w="139700" h="1397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6824-474C-B5AD-8859877F00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6846319"/>
        <c:axId val="876847151"/>
      </c:barChart>
      <c:catAx>
        <c:axId val="8768463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fr-FR"/>
          </a:p>
        </c:txPr>
        <c:crossAx val="876847151"/>
        <c:crosses val="autoZero"/>
        <c:auto val="1"/>
        <c:lblAlgn val="ctr"/>
        <c:lblOffset val="100"/>
        <c:noMultiLvlLbl val="0"/>
      </c:catAx>
      <c:valAx>
        <c:axId val="87684715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876846319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5-4E88-A4F0-BED1A740A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14</c:v>
              </c:pt>
              <c:pt idx="1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C80B-42F3-8DF3-A1E9154F87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15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F49C-43E1-9E5C-C9862AA9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3A-42B7-BCC7-0D7578328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8697248"/>
        <c:axId val="1988695584"/>
      </c:barChart>
      <c:catAx>
        <c:axId val="19886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fr-FR"/>
          </a:p>
        </c:txPr>
        <c:crossAx val="1988695584"/>
        <c:crosses val="autoZero"/>
        <c:auto val="1"/>
        <c:lblAlgn val="ctr"/>
        <c:lblOffset val="100"/>
        <c:noMultiLvlLbl val="0"/>
      </c:catAx>
      <c:valAx>
        <c:axId val="198869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69724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E1-44CE-809B-D4F099313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88682272"/>
        <c:axId val="1988673952"/>
      </c:barChart>
      <c:catAx>
        <c:axId val="19886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88673952"/>
        <c:crosses val="autoZero"/>
        <c:auto val="1"/>
        <c:lblAlgn val="ctr"/>
        <c:lblOffset val="100"/>
        <c:noMultiLvlLbl val="0"/>
      </c:catAx>
      <c:valAx>
        <c:axId val="1988673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68227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09-4BA2-837D-9E5CF57397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988665632"/>
        <c:axId val="1988660224"/>
      </c:barChart>
      <c:catAx>
        <c:axId val="19886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88660224"/>
        <c:crosses val="autoZero"/>
        <c:auto val="1"/>
        <c:lblAlgn val="ctr"/>
        <c:lblOffset val="100"/>
        <c:noMultiLvlLbl val="0"/>
      </c:catAx>
      <c:valAx>
        <c:axId val="1988660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66563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Sorties Mois</c:v>
          </c:tx>
          <c:spPr>
            <a:solidFill>
              <a:srgbClr val="A50021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9C-446A-9687-584EA3EDBB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8702240"/>
        <c:axId val="1988684768"/>
      </c:barChart>
      <c:catAx>
        <c:axId val="19887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88684768"/>
        <c:crosses val="autoZero"/>
        <c:auto val="1"/>
        <c:lblAlgn val="ctr"/>
        <c:lblOffset val="100"/>
        <c:noMultiLvlLbl val="0"/>
      </c:catAx>
      <c:valAx>
        <c:axId val="1988684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88702240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83165354330709"/>
          <c:y val="5.3675065616797898E-2"/>
          <c:w val="0.79193795275590551"/>
          <c:h val="0.87948608923884519"/>
        </c:manualLayout>
      </c:layout>
      <c:barChart>
        <c:barDir val="bar"/>
        <c:grouping val="clustered"/>
        <c:varyColors val="0"/>
        <c:ser>
          <c:idx val="1"/>
          <c:order val="1"/>
          <c:tx>
            <c:v>Présent</c:v>
          </c:tx>
          <c:spPr>
            <a:solidFill>
              <a:srgbClr val="08769C"/>
            </a:solidFill>
            <a:scene3d>
              <a:camera prst="orthographicFront"/>
              <a:lightRig rig="threePt" dir="t"/>
            </a:scene3d>
            <a:sp3d prstMaterial="metal">
              <a:bevelT w="38100" h="57150"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5A3B-4AC9-830A-78F341371F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axId val="1680607279"/>
        <c:axId val="16805968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00B1-47D9-B625-13D344873156}"/>
                  </c:ext>
                </c:extLst>
              </c15:ser>
            </c15:filteredBarSeries>
          </c:ext>
        </c:extLst>
      </c:barChart>
      <c:catAx>
        <c:axId val="1680607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i="1"/>
            </a:pPr>
            <a:endParaRPr lang="fr-FR"/>
          </a:p>
        </c:txPr>
        <c:crossAx val="1680596879"/>
        <c:crosses val="autoZero"/>
        <c:auto val="1"/>
        <c:lblAlgn val="ctr"/>
        <c:lblOffset val="100"/>
        <c:noMultiLvlLbl val="0"/>
      </c:catAx>
      <c:valAx>
        <c:axId val="1680596879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80607279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Sorties Mois</c:v>
          </c:tx>
          <c:spPr>
            <a:solidFill>
              <a:srgbClr val="A50021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F2-4707-AC0E-906D8B74C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90608"/>
        <c:axId val="191287280"/>
      </c:barChart>
      <c:catAx>
        <c:axId val="19129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1287280"/>
        <c:crosses val="autoZero"/>
        <c:auto val="1"/>
        <c:lblAlgn val="ctr"/>
        <c:lblOffset val="100"/>
        <c:noMultiLvlLbl val="0"/>
      </c:catAx>
      <c:valAx>
        <c:axId val="19128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129060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Sorties Mois</c:v>
          </c:tx>
          <c:spPr>
            <a:solidFill>
              <a:srgbClr val="A50021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0C-4458-92D5-19DA0B0CC4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91271472"/>
        <c:axId val="191281872"/>
      </c:barChart>
      <c:catAx>
        <c:axId val="1912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fr-FR"/>
          </a:p>
        </c:txPr>
        <c:crossAx val="191281872"/>
        <c:crosses val="autoZero"/>
        <c:auto val="1"/>
        <c:lblAlgn val="ctr"/>
        <c:lblOffset val="100"/>
        <c:noMultiLvlLbl val="0"/>
      </c:catAx>
      <c:valAx>
        <c:axId val="191281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127147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EE-45DD-86D8-FD991D43DD3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942843903"/>
        <c:axId val="942832255"/>
      </c:barChart>
      <c:catAx>
        <c:axId val="942843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42832255"/>
        <c:crosses val="autoZero"/>
        <c:auto val="1"/>
        <c:lblAlgn val="ctr"/>
        <c:lblOffset val="100"/>
        <c:noMultiLvlLbl val="0"/>
      </c:catAx>
      <c:valAx>
        <c:axId val="94283225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42843903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2</c:v>
              </c:pt>
              <c:pt idx="1">
                <c:v>1</c:v>
              </c:pt>
              <c:pt idx="2">
                <c:v>7</c:v>
              </c:pt>
              <c:pt idx="3">
                <c:v>6</c:v>
              </c:pt>
              <c:pt idx="4">
                <c:v>7</c:v>
              </c:pt>
              <c:pt idx="5">
                <c:v>5</c:v>
              </c:pt>
              <c:pt idx="6">
                <c:v>2</c:v>
              </c:pt>
              <c:pt idx="7">
                <c:v>1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1C2E-47EC-9E49-168E80427B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218232527"/>
        <c:axId val="1218235439"/>
      </c:barChart>
      <c:catAx>
        <c:axId val="1218232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18235439"/>
        <c:crosses val="autoZero"/>
        <c:auto val="1"/>
        <c:lblAlgn val="ctr"/>
        <c:lblOffset val="100"/>
        <c:noMultiLvlLbl val="0"/>
      </c:catAx>
      <c:valAx>
        <c:axId val="121823543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1823252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0 - 20 ans</c:v>
              </c:pt>
              <c:pt idx="1">
                <c:v>20 - 25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6</c:v>
              </c:pt>
              <c:pt idx="3">
                <c:v>8</c:v>
              </c:pt>
              <c:pt idx="4">
                <c:v>5</c:v>
              </c:pt>
              <c:pt idx="5">
                <c:v>5</c:v>
              </c:pt>
              <c:pt idx="6">
                <c:v>1</c:v>
              </c:pt>
              <c:pt idx="7">
                <c:v>1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E11-4DF6-8E54-9B55318B20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677407455"/>
        <c:axId val="540299871"/>
      </c:barChart>
      <c:catAx>
        <c:axId val="67740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540299871"/>
        <c:crosses val="autoZero"/>
        <c:auto val="1"/>
        <c:lblAlgn val="ctr"/>
        <c:lblOffset val="100"/>
        <c:noMultiLvlLbl val="0"/>
      </c:catAx>
      <c:valAx>
        <c:axId val="54029987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677407455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39324116743471"/>
          <c:y val="9.569377990430622E-2"/>
          <c:w val="0.75422427035330264"/>
          <c:h val="0.78309409888357262"/>
        </c:manualLayout>
      </c:layout>
      <c:pieChart>
        <c:varyColors val="1"/>
        <c:ser>
          <c:idx val="0"/>
          <c:order val="0"/>
          <c:tx>
            <c:v>Elément - Montant</c:v>
          </c:tx>
          <c:spPr>
            <a:solidFill>
              <a:srgbClr val="F59C00"/>
            </a:solidFill>
          </c:spPr>
          <c:dPt>
            <c:idx val="0"/>
            <c:bubble3D val="0"/>
            <c:spPr>
              <a:solidFill>
                <a:srgbClr val="08769C"/>
              </a:solidFill>
            </c:spPr>
            <c:extLst>
              <c:ext xmlns:c16="http://schemas.microsoft.com/office/drawing/2014/chart" uri="{C3380CC4-5D6E-409C-BE32-E72D297353CC}">
                <c16:uniqueId val="{00000001-C911-4180-B2CB-66234C9D1DE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FEMME</c:v>
              </c:pt>
              <c:pt idx="1">
                <c:v>HOMME</c:v>
              </c:pt>
              <c:pt idx="2">
                <c:v>NON DETERMINE</c:v>
              </c:pt>
            </c:strLit>
          </c:cat>
          <c:val>
            <c:numLit>
              <c:formatCode>General</c:formatCode>
              <c:ptCount val="3"/>
              <c:pt idx="0">
                <c:v>147785.57999999999</c:v>
              </c:pt>
              <c:pt idx="1">
                <c:v>260535.57</c:v>
              </c:pt>
              <c:pt idx="2">
                <c:v>4060</c:v>
              </c:pt>
            </c:numLit>
          </c:val>
          <c:extLst>
            <c:ext xmlns:c16="http://schemas.microsoft.com/office/drawing/2014/chart" uri="{C3380CC4-5D6E-409C-BE32-E72D297353CC}">
              <c16:uniqueId val="{00000002-C911-4180-B2CB-66234C9D1D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Elément - Montant</c:v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metal">
              <a:bevelT w="38100" h="57150" prst="angle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208148.6</c:v>
              </c:pt>
              <c:pt idx="1">
                <c:v>204232.55</c:v>
              </c:pt>
            </c:numLit>
          </c:val>
          <c:extLst>
            <c:ext xmlns:c16="http://schemas.microsoft.com/office/drawing/2014/chart" uri="{C3380CC4-5D6E-409C-BE32-E72D297353CC}">
              <c16:uniqueId val="{00000000-342E-42A7-885A-B41D389A3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7122447"/>
        <c:axId val="868292047"/>
      </c:barChart>
      <c:catAx>
        <c:axId val="867122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i="0"/>
            </a:pPr>
            <a:endParaRPr lang="fr-FR"/>
          </a:p>
        </c:txPr>
        <c:crossAx val="868292047"/>
        <c:crosses val="autoZero"/>
        <c:auto val="1"/>
        <c:lblAlgn val="ctr"/>
        <c:lblOffset val="100"/>
        <c:noMultiLvlLbl val="0"/>
      </c:catAx>
      <c:valAx>
        <c:axId val="868292047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6712244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Elément - Montant</c:v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00010</c:v>
              </c:pt>
              <c:pt idx="1">
                <c:v>00028</c:v>
              </c:pt>
            </c:strLit>
          </c:cat>
          <c:val>
            <c:numLit>
              <c:formatCode>General</c:formatCode>
              <c:ptCount val="2"/>
              <c:pt idx="0">
                <c:v>367048.76</c:v>
              </c:pt>
              <c:pt idx="1">
                <c:v>45332.39</c:v>
              </c:pt>
            </c:numLit>
          </c:val>
          <c:extLst>
            <c:ext xmlns:c16="http://schemas.microsoft.com/office/drawing/2014/chart" uri="{C3380CC4-5D6E-409C-BE32-E72D297353CC}">
              <c16:uniqueId val="{00000000-7C2A-4459-B23D-83956783FB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081237215"/>
        <c:axId val="1081228895"/>
      </c:barChart>
      <c:catAx>
        <c:axId val="10812372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1228895"/>
        <c:crosses val="autoZero"/>
        <c:auto val="1"/>
        <c:lblAlgn val="ctr"/>
        <c:lblOffset val="100"/>
        <c:noMultiLvlLbl val="0"/>
      </c:catAx>
      <c:valAx>
        <c:axId val="1081228895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081237215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Elément - Montant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0 - 20 ans</c:v>
              </c:pt>
              <c:pt idx="1">
                <c:v>20 - 25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785.65</c:v>
              </c:pt>
              <c:pt idx="1">
                <c:v>18216.599999999999</c:v>
              </c:pt>
              <c:pt idx="2">
                <c:v>7623.63</c:v>
              </c:pt>
              <c:pt idx="3">
                <c:v>51399.69</c:v>
              </c:pt>
              <c:pt idx="4">
                <c:v>64150.05</c:v>
              </c:pt>
              <c:pt idx="5">
                <c:v>62664.639999999999</c:v>
              </c:pt>
              <c:pt idx="6">
                <c:v>59308.47</c:v>
              </c:pt>
              <c:pt idx="7">
                <c:v>23178.5</c:v>
              </c:pt>
              <c:pt idx="8">
                <c:v>34017.49</c:v>
              </c:pt>
              <c:pt idx="9">
                <c:v>91036.43</c:v>
              </c:pt>
            </c:numLit>
          </c:val>
          <c:extLst>
            <c:ext xmlns:c16="http://schemas.microsoft.com/office/drawing/2014/chart" uri="{C3380CC4-5D6E-409C-BE32-E72D297353CC}">
              <c16:uniqueId val="{00000001-E184-4E2A-AC51-1B9BBDEA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008608"/>
        <c:axId val="209996128"/>
      </c:barChart>
      <c:catAx>
        <c:axId val="2100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09996128"/>
        <c:crosses val="autoZero"/>
        <c:auto val="1"/>
        <c:lblAlgn val="ctr"/>
        <c:lblOffset val="100"/>
        <c:noMultiLvlLbl val="0"/>
      </c:catAx>
      <c:valAx>
        <c:axId val="209996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1000860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Présent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22</c:v>
              </c:pt>
              <c:pt idx="1">
                <c:v>22</c:v>
              </c:pt>
              <c:pt idx="2">
                <c:v>22</c:v>
              </c:pt>
              <c:pt idx="3">
                <c:v>23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A7F8-491D-8A6E-B0C487E489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90893247"/>
        <c:axId val="5908919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A7F8-491D-8A6E-B0C487E489FF}"/>
                  </c:ext>
                </c:extLst>
              </c15:ser>
            </c15:filteredBarSeries>
          </c:ext>
        </c:extLst>
      </c:barChart>
      <c:catAx>
        <c:axId val="590893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i="1"/>
            </a:pPr>
            <a:endParaRPr lang="fr-FR"/>
          </a:p>
        </c:txPr>
        <c:crossAx val="590891999"/>
        <c:crosses val="autoZero"/>
        <c:auto val="1"/>
        <c:lblAlgn val="ctr"/>
        <c:lblOffset val="100"/>
        <c:noMultiLvlLbl val="0"/>
      </c:catAx>
      <c:valAx>
        <c:axId val="590891999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59089324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818280067932682E-2"/>
          <c:y val="0.18779306432849741"/>
          <c:w val="0.96878720067858282"/>
          <c:h val="0.70460261637255817"/>
        </c:manualLayout>
      </c:layout>
      <c:barChart>
        <c:barDir val="col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996-4479-92A6-E1C522824824}"/>
            </c:ext>
          </c:extLst>
        </c:ser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22</c:v>
              </c:pt>
              <c:pt idx="1">
                <c:v>22</c:v>
              </c:pt>
              <c:pt idx="2">
                <c:v>22</c:v>
              </c:pt>
              <c:pt idx="3">
                <c:v>23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2-C996-4479-92A6-E1C522824824}"/>
            </c:ext>
          </c:extLst>
        </c:ser>
        <c:ser>
          <c:idx val="2"/>
          <c:order val="2"/>
          <c:tx>
            <c:v>NON DETERMINE</c:v>
          </c:tx>
          <c:invertIfNegative val="0"/>
          <c:cat>
            <c:strLit>
              <c:ptCount val="5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B9E-4C4F-BC9B-6A5CC414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3718463"/>
        <c:axId val="1663717215"/>
        <c:extLst/>
      </c:barChart>
      <c:catAx>
        <c:axId val="1663718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fr-FR"/>
          </a:p>
        </c:txPr>
        <c:crossAx val="1663717215"/>
        <c:crosses val="autoZero"/>
        <c:auto val="1"/>
        <c:lblAlgn val="ctr"/>
        <c:lblOffset val="100"/>
        <c:noMultiLvlLbl val="0"/>
      </c:catAx>
      <c:valAx>
        <c:axId val="166371721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63718463"/>
        <c:crosses val="autoZero"/>
        <c:crossBetween val="between"/>
      </c:valAx>
      <c:spPr>
        <a:ln>
          <a:noFill/>
        </a:ln>
      </c:spPr>
    </c:plotArea>
    <c:legend>
      <c:legendPos val="t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83165354330709"/>
          <c:y val="5.3675065616797898E-2"/>
          <c:w val="0.79193795275590551"/>
          <c:h val="0.87948608923884519"/>
        </c:manualLayout>
      </c:layout>
      <c:barChart>
        <c:barDir val="col"/>
        <c:grouping val="clustered"/>
        <c:varyColors val="0"/>
        <c:ser>
          <c:idx val="1"/>
          <c:order val="1"/>
          <c:tx>
            <c:v>Présent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7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  <c:pt idx="12">
                <c:v>202001</c:v>
              </c:pt>
              <c:pt idx="13">
                <c:v>202002</c:v>
              </c:pt>
              <c:pt idx="14">
                <c:v>202003</c:v>
              </c:pt>
              <c:pt idx="15">
                <c:v>202004</c:v>
              </c:pt>
              <c:pt idx="16">
                <c:v>202005</c:v>
              </c:pt>
            </c:strLit>
          </c:cat>
          <c:val>
            <c:numLit>
              <c:formatCode>General</c:formatCode>
              <c:ptCount val="17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15</c:v>
              </c:pt>
              <c:pt idx="7">
                <c:v>15</c:v>
              </c:pt>
              <c:pt idx="8">
                <c:v>15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15</c:v>
              </c:pt>
              <c:pt idx="13">
                <c:v>15</c:v>
              </c:pt>
              <c:pt idx="14">
                <c:v>15</c:v>
              </c:pt>
              <c:pt idx="15">
                <c:v>15</c:v>
              </c:pt>
              <c:pt idx="1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A45B-4AF2-9F15-0A1EE6063F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80607279"/>
        <c:axId val="16805968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A45B-4AF2-9F15-0A1EE6063FF4}"/>
                  </c:ext>
                </c:extLst>
              </c15:ser>
            </c15:filteredBarSeries>
          </c:ext>
        </c:extLst>
      </c:barChart>
      <c:catAx>
        <c:axId val="16806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i="1"/>
            </a:pPr>
            <a:endParaRPr lang="fr-FR"/>
          </a:p>
        </c:txPr>
        <c:crossAx val="1680596879"/>
        <c:crosses val="autoZero"/>
        <c:auto val="1"/>
        <c:lblAlgn val="ctr"/>
        <c:lblOffset val="100"/>
        <c:noMultiLvlLbl val="0"/>
      </c:catAx>
      <c:valAx>
        <c:axId val="168059687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80607279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818280067932682E-2"/>
          <c:y val="0.18779306432849741"/>
          <c:w val="0.96878720067858282"/>
          <c:h val="0.70460261637255817"/>
        </c:manualLayout>
      </c:layout>
      <c:barChart>
        <c:barDir val="col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7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  <c:pt idx="12">
                <c:v>202001</c:v>
              </c:pt>
              <c:pt idx="13">
                <c:v>202002</c:v>
              </c:pt>
              <c:pt idx="14">
                <c:v>202003</c:v>
              </c:pt>
              <c:pt idx="15">
                <c:v>202004</c:v>
              </c:pt>
              <c:pt idx="16">
                <c:v>202005</c:v>
              </c:pt>
            </c:strLit>
          </c:cat>
          <c:val>
            <c:numLit>
              <c:formatCode>General</c:formatCode>
              <c:ptCount val="17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15</c:v>
              </c:pt>
              <c:pt idx="7">
                <c:v>15</c:v>
              </c:pt>
              <c:pt idx="8">
                <c:v>15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15</c:v>
              </c:pt>
              <c:pt idx="13">
                <c:v>15</c:v>
              </c:pt>
              <c:pt idx="14">
                <c:v>15</c:v>
              </c:pt>
              <c:pt idx="15">
                <c:v>15</c:v>
              </c:pt>
              <c:pt idx="16">
                <c:v>15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756-4207-B4FD-146884AC22E6}"/>
            </c:ext>
          </c:extLst>
        </c:ser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7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  <c:pt idx="12">
                <c:v>202001</c:v>
              </c:pt>
              <c:pt idx="13">
                <c:v>202002</c:v>
              </c:pt>
              <c:pt idx="14">
                <c:v>202003</c:v>
              </c:pt>
              <c:pt idx="15">
                <c:v>202004</c:v>
              </c:pt>
              <c:pt idx="16">
                <c:v>202005</c:v>
              </c:pt>
            </c:strLit>
          </c:cat>
          <c:val>
            <c:numLit>
              <c:formatCode>General</c:formatCode>
              <c:ptCount val="17"/>
              <c:pt idx="0">
                <c:v>20</c:v>
              </c:pt>
              <c:pt idx="1">
                <c:v>20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  <c:pt idx="8">
                <c:v>20</c:v>
              </c:pt>
              <c:pt idx="9">
                <c:v>19</c:v>
              </c:pt>
              <c:pt idx="10">
                <c:v>20</c:v>
              </c:pt>
              <c:pt idx="11">
                <c:v>20</c:v>
              </c:pt>
              <c:pt idx="12">
                <c:v>22</c:v>
              </c:pt>
              <c:pt idx="13">
                <c:v>22</c:v>
              </c:pt>
              <c:pt idx="14">
                <c:v>22</c:v>
              </c:pt>
              <c:pt idx="15">
                <c:v>23</c:v>
              </c:pt>
              <c:pt idx="16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A756-4207-B4FD-146884AC22E6}"/>
            </c:ext>
          </c:extLst>
        </c:ser>
        <c:ser>
          <c:idx val="2"/>
          <c:order val="2"/>
          <c:tx>
            <c:v>NON DETERMINE</c:v>
          </c:tx>
          <c:invertIfNegative val="0"/>
          <c:cat>
            <c:strLit>
              <c:ptCount val="17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  <c:pt idx="12">
                <c:v>202001</c:v>
              </c:pt>
              <c:pt idx="13">
                <c:v>202002</c:v>
              </c:pt>
              <c:pt idx="14">
                <c:v>202003</c:v>
              </c:pt>
              <c:pt idx="15">
                <c:v>202004</c:v>
              </c:pt>
              <c:pt idx="16">
                <c:v>202005</c:v>
              </c:pt>
            </c:strLit>
          </c:cat>
          <c:val>
            <c:numLit>
              <c:formatCode>General</c:formatCode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3D1-47EA-B0B8-54D51999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3718463"/>
        <c:axId val="1663717215"/>
        <c:extLst/>
      </c:barChart>
      <c:catAx>
        <c:axId val="1663718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fr-FR"/>
          </a:p>
        </c:txPr>
        <c:crossAx val="1663717215"/>
        <c:crosses val="autoZero"/>
        <c:auto val="1"/>
        <c:lblAlgn val="ctr"/>
        <c:lblOffset val="100"/>
        <c:noMultiLvlLbl val="0"/>
      </c:catAx>
      <c:valAx>
        <c:axId val="166371721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63718463"/>
        <c:crosses val="autoZero"/>
        <c:crossBetween val="between"/>
      </c:valAx>
      <c:spPr>
        <a:ln>
          <a:noFill/>
        </a:ln>
      </c:spPr>
    </c:plotArea>
    <c:legend>
      <c:legendPos val="t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2</c:v>
              </c:pt>
              <c:pt idx="7">
                <c:v>1</c:v>
              </c:pt>
              <c:pt idx="8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BDD-4024-B723-888B65C72AC2}"/>
            </c:ext>
          </c:extLst>
        </c:ser>
        <c:ser>
          <c:idx val="2"/>
          <c:order val="2"/>
          <c:tx>
            <c:v>NON DETERMINE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5A6-4439-A890-C4489A5F4E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63725119"/>
        <c:axId val="1663722207"/>
        <c:extLst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4</c:v>
              </c:pt>
              <c:pt idx="4">
                <c:v>4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3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BDD-4024-B723-888B65C72A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876091359"/>
        <c:axId val="876117151"/>
        <c:extLst/>
      </c:barChart>
      <c:catAx>
        <c:axId val="16637251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/>
        </c:spPr>
        <c:crossAx val="1663722207"/>
        <c:crosses val="autoZero"/>
        <c:auto val="0"/>
        <c:lblAlgn val="ctr"/>
        <c:lblOffset val="100"/>
        <c:noMultiLvlLbl val="0"/>
      </c:catAx>
      <c:valAx>
        <c:axId val="1663722207"/>
        <c:scaling>
          <c:orientation val="minMax"/>
          <c:max val="50"/>
          <c:min val="-5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crossAx val="1663725119"/>
        <c:crosses val="autoZero"/>
        <c:crossBetween val="between"/>
      </c:valAx>
      <c:valAx>
        <c:axId val="876117151"/>
        <c:scaling>
          <c:orientation val="maxMin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876091359"/>
        <c:crosses val="max"/>
        <c:crossBetween val="between"/>
      </c:valAx>
      <c:catAx>
        <c:axId val="87609135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76117151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FEMMES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1"/>
          <c:order val="1"/>
          <c:tx>
            <c:v>Présent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98A-45D8-92A5-2F909DC229CB}"/>
              </c:ext>
            </c:extLst>
          </c:dPt>
          <c:dPt>
            <c:idx val="1"/>
            <c:bubble3D val="0"/>
            <c:spPr>
              <a:solidFill>
                <a:srgbClr val="08769C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98A-45D8-92A5-2F909DC229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Contrat de travail à durée indéterminée de droit privé</c:v>
              </c:pt>
            </c:strLit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4-798A-45D8-92A5-2F909DC22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Présent Mois</c:v>
                </c:tx>
                <c:spPr>
                  <a:solidFill>
                    <a:srgbClr val="08769C"/>
                  </a:solidFill>
                </c:spPr>
                <c:dPt>
                  <c:idx val="1"/>
                  <c:bubble3D val="0"/>
                  <c:spPr>
                    <a:solidFill>
                      <a:schemeClr val="accent5">
                        <a:lumMod val="75000"/>
                      </a:schemeClr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6-798A-45D8-92A5-2F909DC229C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7-798A-45D8-92A5-2F909DC229CB}"/>
                  </c:ext>
                </c:extLst>
              </c15:ser>
            </c15:filteredPieSeries>
          </c:ext>
        </c:extLst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HOMMES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1"/>
          <c:order val="1"/>
          <c:tx>
            <c:v>Présent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F3A7-402F-9CB8-C01B94361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Présent Mois</c:v>
                </c:tx>
                <c:spPr>
                  <a:solidFill>
                    <a:srgbClr val="F59C00"/>
                  </a:solidFill>
                </c:spP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50" b="1">
                          <a:solidFill>
                            <a:schemeClr val="accent4">
                              <a:lumMod val="50000"/>
                            </a:schemeClr>
                          </a:solidFill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F3A7-402F-9CB8-C01B94361F57}"/>
                  </c:ext>
                </c:extLst>
              </c15:ser>
            </c15:filteredPieSeries>
          </c:ext>
        </c:extLst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4</c:v>
              </c:pt>
              <c:pt idx="1">
                <c:v>3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8</c:v>
              </c:pt>
              <c:pt idx="6">
                <c:v>2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80-4C02-9342-5D7F378AA90B}"/>
            </c:ext>
          </c:extLst>
        </c:ser>
        <c:ser>
          <c:idx val="2"/>
          <c:order val="2"/>
          <c:tx>
            <c:v>NON DETERMINE</c:v>
          </c:tx>
          <c:invertIfNegative val="0"/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0A2-40D1-9B59-20D4EE02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5279199"/>
        <c:axId val="965290431"/>
        <c:extLst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0</c:v>
              </c:pt>
              <c:pt idx="5">
                <c:v>5</c:v>
              </c:pt>
              <c:pt idx="6">
                <c:v>3</c:v>
              </c:pt>
              <c:pt idx="7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80-4C02-9342-5D7F378AA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7054479"/>
        <c:axId val="1237075695"/>
        <c:extLst/>
      </c:barChart>
      <c:catAx>
        <c:axId val="965279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965290431"/>
        <c:crosses val="autoZero"/>
        <c:auto val="1"/>
        <c:lblAlgn val="ctr"/>
        <c:lblOffset val="100"/>
        <c:noMultiLvlLbl val="0"/>
      </c:catAx>
      <c:valAx>
        <c:axId val="965290431"/>
        <c:scaling>
          <c:orientation val="minMax"/>
          <c:max val="50"/>
          <c:min val="-5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crossAx val="965279199"/>
        <c:crosses val="autoZero"/>
        <c:crossBetween val="between"/>
      </c:valAx>
      <c:valAx>
        <c:axId val="1237075695"/>
        <c:scaling>
          <c:orientation val="maxMin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1237054479"/>
        <c:crosses val="max"/>
        <c:crossBetween val="between"/>
      </c:valAx>
      <c:catAx>
        <c:axId val="123705447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237075695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00010</c:v>
              </c:pt>
              <c:pt idx="1">
                <c:v>00028</c:v>
              </c:pt>
            </c:strLit>
          </c:cat>
          <c:val>
            <c:numLit>
              <c:formatCode>General</c:formatCode>
              <c:ptCount val="2"/>
              <c:pt idx="0">
                <c:v>2393.66</c:v>
              </c:pt>
              <c:pt idx="1">
                <c:v>1638.26</c:v>
              </c:pt>
            </c:numLit>
          </c:val>
          <c:extLst>
            <c:ext xmlns:c16="http://schemas.microsoft.com/office/drawing/2014/chart" uri="{C3380CC4-5D6E-409C-BE32-E72D297353CC}">
              <c16:uniqueId val="{00000002-A1D2-422D-A32D-0825225B5A87}"/>
            </c:ext>
          </c:extLst>
        </c:ser>
        <c:ser>
          <c:idx val="2"/>
          <c:order val="2"/>
          <c:tx>
            <c:v>NON DETERMINE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00010</c:v>
              </c:pt>
              <c:pt idx="1">
                <c:v>00028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812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E71-47BE-83E3-37D6883B8D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253823119"/>
        <c:axId val="1253831855"/>
        <c:extLst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00010</c:v>
              </c:pt>
              <c:pt idx="1">
                <c:v>00028</c:v>
              </c:pt>
            </c:strLit>
          </c:cat>
          <c:val>
            <c:numLit>
              <c:formatCode>General</c:formatCode>
              <c:ptCount val="2"/>
              <c:pt idx="0">
                <c:v>2048.2600000000002</c:v>
              </c:pt>
              <c:pt idx="1">
                <c:v>1659.32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1D2-422D-A32D-0825225B5A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736767663"/>
        <c:axId val="736763919"/>
        <c:extLst/>
      </c:barChart>
      <c:catAx>
        <c:axId val="12538231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50" b="1" i="1"/>
            </a:pPr>
            <a:endParaRPr lang="fr-FR"/>
          </a:p>
        </c:txPr>
        <c:crossAx val="1253831855"/>
        <c:crosses val="autoZero"/>
        <c:auto val="1"/>
        <c:lblAlgn val="ctr"/>
        <c:lblOffset val="100"/>
        <c:noMultiLvlLbl val="0"/>
      </c:catAx>
      <c:valAx>
        <c:axId val="1253831855"/>
        <c:scaling>
          <c:orientation val="minMax"/>
          <c:max val="10000"/>
          <c:min val="-100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crossAx val="1253823119"/>
        <c:crosses val="autoZero"/>
        <c:crossBetween val="between"/>
      </c:valAx>
      <c:valAx>
        <c:axId val="736763919"/>
        <c:scaling>
          <c:orientation val="maxMin"/>
          <c:max val="10000"/>
          <c:min val="-10000"/>
        </c:scaling>
        <c:delete val="0"/>
        <c:axPos val="t"/>
        <c:numFmt formatCode="0;0" sourceLinked="0"/>
        <c:majorTickMark val="out"/>
        <c:minorTickMark val="none"/>
        <c:tickLblPos val="nextTo"/>
        <c:crossAx val="736767663"/>
        <c:crosses val="max"/>
        <c:crossBetween val="between"/>
      </c:valAx>
      <c:catAx>
        <c:axId val="73676766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36763919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FEMME</c:v>
          </c:tx>
          <c:spPr>
            <a:solidFill>
              <a:srgbClr val="0876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202002</c:v>
              </c:pt>
            </c:strLit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D97-4F95-A399-CAAAFD4C85CC}"/>
            </c:ext>
          </c:extLst>
        </c:ser>
        <c:ser>
          <c:idx val="2"/>
          <c:order val="2"/>
          <c:tx>
            <c:v>HOMME</c:v>
          </c:tx>
          <c:spPr>
            <a:solidFill>
              <a:srgbClr val="F59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202002</c:v>
              </c:pt>
            </c:strLit>
          </c:cat>
          <c:val>
            <c:numLit>
              <c:formatCode>General</c:formatCode>
              <c:ptCount val="1"/>
              <c:pt idx="0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4-7D97-4F95-A399-CAAAFD4C85CC}"/>
            </c:ext>
          </c:extLst>
        </c:ser>
        <c:ser>
          <c:idx val="3"/>
          <c:order val="3"/>
          <c:tx>
            <c:v>NON DETERMINE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202002</c:v>
              </c:pt>
            </c:strLit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07A-4DE9-A367-354ACC5D8E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737960127"/>
        <c:axId val="7379642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Elément - Nombre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7D97-4F95-A399-CAAAFD4C85CC}"/>
                  </c:ext>
                </c:extLst>
              </c15:ser>
            </c15:filteredBarSeries>
          </c:ext>
        </c:extLst>
      </c:barChart>
      <c:catAx>
        <c:axId val="737960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 i="1"/>
            </a:pPr>
            <a:endParaRPr lang="fr-FR"/>
          </a:p>
        </c:txPr>
        <c:crossAx val="737964287"/>
        <c:crosses val="autoZero"/>
        <c:auto val="1"/>
        <c:lblAlgn val="ctr"/>
        <c:lblOffset val="100"/>
        <c:noMultiLvlLbl val="0"/>
      </c:catAx>
      <c:valAx>
        <c:axId val="737964287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37960127"/>
        <c:crosses val="autoZero"/>
        <c:crossBetween val="between"/>
      </c:valAx>
    </c:plotArea>
    <c:legend>
      <c:legendPos val="t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2</c:v>
              </c:pt>
              <c:pt idx="7">
                <c:v>1</c:v>
              </c:pt>
              <c:pt idx="8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87FA-4AB2-9A8E-196DD7FD2A15}"/>
            </c:ext>
          </c:extLst>
        </c:ser>
        <c:ser>
          <c:idx val="2"/>
          <c:order val="2"/>
          <c:tx>
            <c:v>NON DETERMINE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D3E-4A03-9DC5-FBC4A1FDBC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63725119"/>
        <c:axId val="1663722207"/>
        <c:extLst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31 - 35 ans</c:v>
              </c:pt>
              <c:pt idx="2">
                <c:v>36 - 40 ans</c:v>
              </c:pt>
              <c:pt idx="3">
                <c:v>41 - 45 ans</c:v>
              </c:pt>
              <c:pt idx="4">
                <c:v>46 - 50 ans</c:v>
              </c:pt>
              <c:pt idx="5">
                <c:v>51 - 55 ans</c:v>
              </c:pt>
              <c:pt idx="6">
                <c:v>56 - 60 ans</c:v>
              </c:pt>
              <c:pt idx="7">
                <c:v>61 - 65 ans</c:v>
              </c:pt>
              <c:pt idx="8">
                <c:v>65 ans et +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4</c:v>
              </c:pt>
              <c:pt idx="4">
                <c:v>4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3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7FA-4AB2-9A8E-196DD7FD2A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876091359"/>
        <c:axId val="876117151"/>
        <c:extLst/>
      </c:barChart>
      <c:catAx>
        <c:axId val="16637251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/>
        </c:spPr>
        <c:crossAx val="1663722207"/>
        <c:crosses val="autoZero"/>
        <c:auto val="0"/>
        <c:lblAlgn val="ctr"/>
        <c:lblOffset val="100"/>
        <c:noMultiLvlLbl val="0"/>
      </c:catAx>
      <c:valAx>
        <c:axId val="1663722207"/>
        <c:scaling>
          <c:orientation val="minMax"/>
          <c:max val="50"/>
          <c:min val="-5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crossAx val="1663725119"/>
        <c:crosses val="autoZero"/>
        <c:crossBetween val="between"/>
      </c:valAx>
      <c:valAx>
        <c:axId val="876117151"/>
        <c:scaling>
          <c:orientation val="maxMin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876091359"/>
        <c:crosses val="max"/>
        <c:crossBetween val="between"/>
      </c:valAx>
      <c:catAx>
        <c:axId val="87609135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76117151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FEMMES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1"/>
          <c:order val="1"/>
          <c:tx>
            <c:v>Présent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CDA-4620-9D35-817E46FF0FF8}"/>
              </c:ext>
            </c:extLst>
          </c:dPt>
          <c:dPt>
            <c:idx val="1"/>
            <c:bubble3D val="0"/>
            <c:spPr>
              <a:solidFill>
                <a:srgbClr val="08769C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CDA-4620-9D35-817E46FF0F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Contrat de travail à durée indéterminée de droit privé</c:v>
              </c:pt>
            </c:strLit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2-4CDA-4620-9D35-817E46FF0F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Présent Mois</c:v>
                </c:tx>
                <c:spPr>
                  <a:solidFill>
                    <a:srgbClr val="08769C"/>
                  </a:solidFill>
                </c:spPr>
                <c:dPt>
                  <c:idx val="1"/>
                  <c:bubble3D val="0"/>
                  <c:spPr>
                    <a:solidFill>
                      <a:schemeClr val="accent5">
                        <a:lumMod val="75000"/>
                      </a:schemeClr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3-6FE1-4ABE-B4E9-11BCEC99E78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6FE1-4ABE-B4E9-11BCEC99E782}"/>
                  </c:ext>
                </c:extLst>
              </c15:ser>
            </c15:filteredPieSeries>
          </c:ext>
        </c:extLst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HOMMES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1"/>
          <c:order val="1"/>
          <c:tx>
            <c:v>Présent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33D2-4A41-A567-385D002B3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Présent Mois</c:v>
                </c:tx>
                <c:spPr>
                  <a:solidFill>
                    <a:srgbClr val="F59C00"/>
                  </a:solidFill>
                </c:spP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50" b="1">
                          <a:solidFill>
                            <a:schemeClr val="accent4">
                              <a:lumMod val="50000"/>
                            </a:schemeClr>
                          </a:solidFill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8928-47AB-9908-569647347DEC}"/>
                  </c:ext>
                </c:extLst>
              </c15:ser>
            </c15:filteredPieSeries>
          </c:ext>
        </c:extLst>
      </c:doughnut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FEMMES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08769C"/>
            </a:solidFill>
            <a:scene3d>
              <a:camera prst="orthographicFront"/>
              <a:lightRig rig="threePt" dir="t"/>
            </a:scene3d>
            <a:sp3d prstMaterial="metal">
              <a:bevelT w="38100" h="57150"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6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1A35-4E12-B1A0-6BF157A18F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9"/>
        <c:axId val="1617917455"/>
        <c:axId val="1617928271"/>
      </c:barChart>
      <c:catAx>
        <c:axId val="16179174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fr-FR"/>
          </a:p>
        </c:txPr>
        <c:crossAx val="1617928271"/>
        <c:crosses val="autoZero"/>
        <c:auto val="1"/>
        <c:lblAlgn val="ctr"/>
        <c:lblOffset val="100"/>
        <c:noMultiLvlLbl val="0"/>
      </c:catAx>
      <c:valAx>
        <c:axId val="161792827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617917455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HOMMES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Présent</c:v>
          </c:tx>
          <c:spPr>
            <a:solidFill>
              <a:srgbClr val="F59C00"/>
            </a:solidFill>
            <a:scene3d>
              <a:camera prst="orthographicFront"/>
              <a:lightRig rig="threePt" dir="t"/>
            </a:scene3d>
            <a:sp3d prstMaterial="metal">
              <a:bevelT w="38100" h="57150"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7716-41B1-BF36-CC8C3933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117569263"/>
        <c:axId val="1117577999"/>
      </c:barChart>
      <c:catAx>
        <c:axId val="11175692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17577999"/>
        <c:crosses val="autoZero"/>
        <c:auto val="1"/>
        <c:lblAlgn val="ctr"/>
        <c:lblOffset val="100"/>
        <c:noMultiLvlLbl val="0"/>
      </c:catAx>
      <c:valAx>
        <c:axId val="111757799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17569263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rgbClr val="F59C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4</c:v>
              </c:pt>
              <c:pt idx="1">
                <c:v>3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8</c:v>
              </c:pt>
              <c:pt idx="6">
                <c:v>2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242-4AD6-9F45-ED2936856B0C}"/>
            </c:ext>
          </c:extLst>
        </c:ser>
        <c:ser>
          <c:idx val="2"/>
          <c:order val="2"/>
          <c:tx>
            <c:v>NON DETERMINE</c:v>
          </c:tx>
          <c:invertIfNegative val="0"/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B6C-4AC9-9C71-4DE83CFD8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5279199"/>
        <c:axId val="965290431"/>
        <c:extLst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08769C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0</c:v>
              </c:pt>
              <c:pt idx="5">
                <c:v>5</c:v>
              </c:pt>
              <c:pt idx="6">
                <c:v>3</c:v>
              </c:pt>
              <c:pt idx="7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242-4AD6-9F45-ED293685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7054479"/>
        <c:axId val="1237075695"/>
        <c:extLst/>
      </c:barChart>
      <c:catAx>
        <c:axId val="965279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965290431"/>
        <c:crosses val="autoZero"/>
        <c:auto val="1"/>
        <c:lblAlgn val="ctr"/>
        <c:lblOffset val="100"/>
        <c:noMultiLvlLbl val="0"/>
      </c:catAx>
      <c:valAx>
        <c:axId val="965290431"/>
        <c:scaling>
          <c:orientation val="minMax"/>
          <c:max val="50"/>
          <c:min val="-5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crossAx val="965279199"/>
        <c:crosses val="autoZero"/>
        <c:crossBetween val="between"/>
      </c:valAx>
      <c:valAx>
        <c:axId val="1237075695"/>
        <c:scaling>
          <c:orientation val="maxMin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1237054479"/>
        <c:crosses val="max"/>
        <c:crossBetween val="between"/>
      </c:valAx>
      <c:catAx>
        <c:axId val="123705447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237075695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18" Type="http://schemas.openxmlformats.org/officeDocument/2006/relationships/image" Target="../media/image3.png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image" Target="../media/image2.png"/><Relationship Id="rId2" Type="http://schemas.openxmlformats.org/officeDocument/2006/relationships/chart" Target="../charts/chart11.xml"/><Relationship Id="rId16" Type="http://schemas.openxmlformats.org/officeDocument/2006/relationships/image" Target="../media/image1.png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358877</xdr:colOff>
      <xdr:row>12</xdr:row>
      <xdr:rowOff>103717</xdr:rowOff>
    </xdr:from>
    <xdr:to>
      <xdr:col>4</xdr:col>
      <xdr:colOff>876301</xdr:colOff>
      <xdr:row>16</xdr:row>
      <xdr:rowOff>75017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15148D9B-3B6A-412C-AE80-2E6E3AE2F223}"/>
            </a:ext>
          </a:extLst>
        </xdr:cNvPr>
        <xdr:cNvGrpSpPr>
          <a:grpSpLocks noChangeAspect="1"/>
        </xdr:cNvGrpSpPr>
      </xdr:nvGrpSpPr>
      <xdr:grpSpPr>
        <a:xfrm>
          <a:off x="4245077" y="4189942"/>
          <a:ext cx="517424" cy="761875"/>
          <a:chOff x="13486040" y="1538968"/>
          <a:chExt cx="548367" cy="887957"/>
        </a:xfrm>
        <a:solidFill>
          <a:srgbClr val="08769C"/>
        </a:solidFill>
      </xdr:grpSpPr>
      <xdr:sp macro="" textlink="">
        <xdr:nvSpPr>
          <xdr:cNvPr id="5" name="Cercle : creux 4">
            <a:extLst>
              <a:ext uri="{FF2B5EF4-FFF2-40B4-BE49-F238E27FC236}">
                <a16:creationId xmlns:a16="http://schemas.microsoft.com/office/drawing/2014/main" id="{A55C1756-3BB6-4471-A38F-46BA03E4B002}"/>
              </a:ext>
            </a:extLst>
          </xdr:cNvPr>
          <xdr:cNvSpPr/>
        </xdr:nvSpPr>
        <xdr:spPr>
          <a:xfrm>
            <a:off x="13486040" y="1538968"/>
            <a:ext cx="540000" cy="540000"/>
          </a:xfrm>
          <a:prstGeom prst="donut">
            <a:avLst>
              <a:gd name="adj" fmla="val 11771"/>
            </a:avLst>
          </a:prstGeom>
          <a:grp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0FC2328-E0CB-4A26-A6F8-925ACB19AD4D}"/>
              </a:ext>
            </a:extLst>
          </xdr:cNvPr>
          <xdr:cNvSpPr/>
        </xdr:nvSpPr>
        <xdr:spPr>
          <a:xfrm rot="5400000">
            <a:off x="13576821" y="2210925"/>
            <a:ext cx="360000" cy="72000"/>
          </a:xfrm>
          <a:prstGeom prst="rect">
            <a:avLst/>
          </a:prstGeom>
          <a:grp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5187AFD1-5656-4C64-8D0C-F3709B5423C1}"/>
              </a:ext>
            </a:extLst>
          </xdr:cNvPr>
          <xdr:cNvSpPr/>
        </xdr:nvSpPr>
        <xdr:spPr>
          <a:xfrm>
            <a:off x="13501007" y="2164272"/>
            <a:ext cx="533400" cy="72000"/>
          </a:xfrm>
          <a:prstGeom prst="rect">
            <a:avLst/>
          </a:prstGeom>
          <a:grp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319353</xdr:colOff>
      <xdr:row>12</xdr:row>
      <xdr:rowOff>170280</xdr:rowOff>
    </xdr:from>
    <xdr:to>
      <xdr:col>9</xdr:col>
      <xdr:colOff>1043951</xdr:colOff>
      <xdr:row>16</xdr:row>
      <xdr:rowOff>23640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65A57BC5-39FA-41B5-BD88-0DBD9660836F}"/>
            </a:ext>
          </a:extLst>
        </xdr:cNvPr>
        <xdr:cNvGrpSpPr>
          <a:grpSpLocks noChangeAspect="1"/>
        </xdr:cNvGrpSpPr>
      </xdr:nvGrpSpPr>
      <xdr:grpSpPr>
        <a:xfrm>
          <a:off x="11311203" y="4256505"/>
          <a:ext cx="724598" cy="643935"/>
          <a:chOff x="14872607" y="1331263"/>
          <a:chExt cx="724598" cy="640208"/>
        </a:xfrm>
        <a:solidFill>
          <a:srgbClr val="F59C00"/>
        </a:solidFill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D223B0C3-97C7-4107-A5B1-823070204B35}"/>
              </a:ext>
            </a:extLst>
          </xdr:cNvPr>
          <xdr:cNvSpPr/>
        </xdr:nvSpPr>
        <xdr:spPr>
          <a:xfrm rot="21339622">
            <a:off x="15402108" y="1331263"/>
            <a:ext cx="144000" cy="72000"/>
          </a:xfrm>
          <a:prstGeom prst="rect">
            <a:avLst/>
          </a:prstGeom>
          <a:grp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0" name="Groupe 9">
            <a:extLst>
              <a:ext uri="{FF2B5EF4-FFF2-40B4-BE49-F238E27FC236}">
                <a16:creationId xmlns:a16="http://schemas.microsoft.com/office/drawing/2014/main" id="{8D1DD4D9-9813-4820-8037-90E3DF262173}"/>
              </a:ext>
            </a:extLst>
          </xdr:cNvPr>
          <xdr:cNvGrpSpPr/>
        </xdr:nvGrpSpPr>
        <xdr:grpSpPr>
          <a:xfrm>
            <a:off x="14872607" y="1371461"/>
            <a:ext cx="724598" cy="600010"/>
            <a:chOff x="14872607" y="1371461"/>
            <a:chExt cx="724598" cy="600010"/>
          </a:xfrm>
          <a:grpFill/>
        </xdr:grpSpPr>
        <xdr:sp macro="" textlink="">
          <xdr:nvSpPr>
            <xdr:cNvPr id="11" name="Cercle : creux 10">
              <a:extLst>
                <a:ext uri="{FF2B5EF4-FFF2-40B4-BE49-F238E27FC236}">
                  <a16:creationId xmlns:a16="http://schemas.microsoft.com/office/drawing/2014/main" id="{8F94E25E-430F-491D-9217-6F086B48AAE0}"/>
                </a:ext>
              </a:extLst>
            </xdr:cNvPr>
            <xdr:cNvSpPr/>
          </xdr:nvSpPr>
          <xdr:spPr>
            <a:xfrm>
              <a:off x="14872607" y="1431471"/>
              <a:ext cx="540000" cy="540000"/>
            </a:xfrm>
            <a:prstGeom prst="donut">
              <a:avLst>
                <a:gd name="adj" fmla="val 11771"/>
              </a:avLst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55C321C1-D331-4E25-8DE9-E3F3BB71E6BD}"/>
                </a:ext>
              </a:extLst>
            </xdr:cNvPr>
            <xdr:cNvSpPr/>
          </xdr:nvSpPr>
          <xdr:spPr>
            <a:xfrm rot="19210443">
              <a:off x="15309205" y="1410337"/>
              <a:ext cx="288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DD1A1F88-8381-450D-B82F-80DEDE266AF8}"/>
                </a:ext>
              </a:extLst>
            </xdr:cNvPr>
            <xdr:cNvSpPr/>
          </xdr:nvSpPr>
          <xdr:spPr>
            <a:xfrm rot="16853386">
              <a:off x="15461979" y="1407461"/>
              <a:ext cx="144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>
    <xdr:from>
      <xdr:col>8</xdr:col>
      <xdr:colOff>9525</xdr:colOff>
      <xdr:row>20</xdr:row>
      <xdr:rowOff>180975</xdr:rowOff>
    </xdr:from>
    <xdr:to>
      <xdr:col>11</xdr:col>
      <xdr:colOff>1533525</xdr:colOff>
      <xdr:row>40</xdr:row>
      <xdr:rowOff>180975</xdr:rowOff>
    </xdr:to>
    <xdr:graphicFrame macro="">
      <xdr:nvGraphicFramePr>
        <xdr:cNvPr id="20" name="Graphique_I22">
          <a:extLst>
            <a:ext uri="{FF2B5EF4-FFF2-40B4-BE49-F238E27FC236}">
              <a16:creationId xmlns:a16="http://schemas.microsoft.com/office/drawing/2014/main" id="{0AE9BA07-1160-4EDA-81CB-264AB610CD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1133475</xdr:colOff>
      <xdr:row>21</xdr:row>
      <xdr:rowOff>0</xdr:rowOff>
    </xdr:from>
    <xdr:to>
      <xdr:col>6</xdr:col>
      <xdr:colOff>1400175</xdr:colOff>
      <xdr:row>41</xdr:row>
      <xdr:rowOff>0</xdr:rowOff>
    </xdr:to>
    <xdr:graphicFrame macro="">
      <xdr:nvGraphicFramePr>
        <xdr:cNvPr id="21" name="Graphique_D22">
          <a:extLst>
            <a:ext uri="{FF2B5EF4-FFF2-40B4-BE49-F238E27FC236}">
              <a16:creationId xmlns:a16="http://schemas.microsoft.com/office/drawing/2014/main" id="{01F8E45F-3E43-447D-9B9C-E8DAE85B0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76199</xdr:colOff>
      <xdr:row>46</xdr:row>
      <xdr:rowOff>133350</xdr:rowOff>
    </xdr:from>
    <xdr:to>
      <xdr:col>12</xdr:col>
      <xdr:colOff>400049</xdr:colOff>
      <xdr:row>60</xdr:row>
      <xdr:rowOff>66675</xdr:rowOff>
    </xdr:to>
    <xdr:graphicFrame macro="">
      <xdr:nvGraphicFramePr>
        <xdr:cNvPr id="22" name="Graphique_D49">
          <a:extLst>
            <a:ext uri="{FF2B5EF4-FFF2-40B4-BE49-F238E27FC236}">
              <a16:creationId xmlns:a16="http://schemas.microsoft.com/office/drawing/2014/main" id="{A0BCB393-2A9D-49CE-845F-BC8F475E1C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704850</xdr:colOff>
      <xdr:row>64</xdr:row>
      <xdr:rowOff>66675</xdr:rowOff>
    </xdr:from>
    <xdr:to>
      <xdr:col>6</xdr:col>
      <xdr:colOff>644525</xdr:colOff>
      <xdr:row>84</xdr:row>
      <xdr:rowOff>66675</xdr:rowOff>
    </xdr:to>
    <xdr:graphicFrame macro="">
      <xdr:nvGraphicFramePr>
        <xdr:cNvPr id="23" name="Graphique_C66">
          <a:extLst>
            <a:ext uri="{FF2B5EF4-FFF2-40B4-BE49-F238E27FC236}">
              <a16:creationId xmlns:a16="http://schemas.microsoft.com/office/drawing/2014/main" id="{59CF7A2E-99B5-440D-A4BC-C2B655F95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1019174</xdr:colOff>
      <xdr:row>117</xdr:row>
      <xdr:rowOff>47625</xdr:rowOff>
    </xdr:from>
    <xdr:to>
      <xdr:col>7</xdr:col>
      <xdr:colOff>314324</xdr:colOff>
      <xdr:row>137</xdr:row>
      <xdr:rowOff>38100</xdr:rowOff>
    </xdr:to>
    <xdr:graphicFrame macro="">
      <xdr:nvGraphicFramePr>
        <xdr:cNvPr id="25" name="Graphique_D120">
          <a:extLst>
            <a:ext uri="{FF2B5EF4-FFF2-40B4-BE49-F238E27FC236}">
              <a16:creationId xmlns:a16="http://schemas.microsoft.com/office/drawing/2014/main" id="{340B7815-38B5-452F-A87F-5C0B13AD6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1047750</xdr:colOff>
      <xdr:row>117</xdr:row>
      <xdr:rowOff>38100</xdr:rowOff>
    </xdr:from>
    <xdr:to>
      <xdr:col>12</xdr:col>
      <xdr:colOff>152400</xdr:colOff>
      <xdr:row>137</xdr:row>
      <xdr:rowOff>28575</xdr:rowOff>
    </xdr:to>
    <xdr:graphicFrame macro="">
      <xdr:nvGraphicFramePr>
        <xdr:cNvPr id="26" name="Graphique_I120">
          <a:extLst>
            <a:ext uri="{FF2B5EF4-FFF2-40B4-BE49-F238E27FC236}">
              <a16:creationId xmlns:a16="http://schemas.microsoft.com/office/drawing/2014/main" id="{DA4444E4-6823-4947-9976-526C7602D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1047750</xdr:colOff>
      <xdr:row>92</xdr:row>
      <xdr:rowOff>38100</xdr:rowOff>
    </xdr:from>
    <xdr:to>
      <xdr:col>7</xdr:col>
      <xdr:colOff>339725</xdr:colOff>
      <xdr:row>112</xdr:row>
      <xdr:rowOff>38100</xdr:rowOff>
    </xdr:to>
    <xdr:graphicFrame macro="">
      <xdr:nvGraphicFramePr>
        <xdr:cNvPr id="2" name="Graphique_D95">
          <a:extLst>
            <a:ext uri="{FF2B5EF4-FFF2-40B4-BE49-F238E27FC236}">
              <a16:creationId xmlns:a16="http://schemas.microsoft.com/office/drawing/2014/main" id="{D963E026-D03D-4558-808A-39C940186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1057275</xdr:colOff>
      <xdr:row>92</xdr:row>
      <xdr:rowOff>66675</xdr:rowOff>
    </xdr:from>
    <xdr:to>
      <xdr:col>12</xdr:col>
      <xdr:colOff>196850</xdr:colOff>
      <xdr:row>112</xdr:row>
      <xdr:rowOff>66675</xdr:rowOff>
    </xdr:to>
    <xdr:graphicFrame macro="">
      <xdr:nvGraphicFramePr>
        <xdr:cNvPr id="3" name="Graphique_I95">
          <a:extLst>
            <a:ext uri="{FF2B5EF4-FFF2-40B4-BE49-F238E27FC236}">
              <a16:creationId xmlns:a16="http://schemas.microsoft.com/office/drawing/2014/main" id="{7248F2D1-813E-473B-BBDD-080B1711A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771524</xdr:colOff>
      <xdr:row>64</xdr:row>
      <xdr:rowOff>104775</xdr:rowOff>
    </xdr:from>
    <xdr:to>
      <xdr:col>12</xdr:col>
      <xdr:colOff>1085849</xdr:colOff>
      <xdr:row>84</xdr:row>
      <xdr:rowOff>104775</xdr:rowOff>
    </xdr:to>
    <xdr:graphicFrame macro="">
      <xdr:nvGraphicFramePr>
        <xdr:cNvPr id="14" name="Graphique_I67">
          <a:extLst>
            <a:ext uri="{FF2B5EF4-FFF2-40B4-BE49-F238E27FC236}">
              <a16:creationId xmlns:a16="http://schemas.microsoft.com/office/drawing/2014/main" id="{33F5E1AF-B498-4DC4-AD4D-F98B9B79A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95250</xdr:rowOff>
    </xdr:from>
    <xdr:to>
      <xdr:col>5</xdr:col>
      <xdr:colOff>0</xdr:colOff>
      <xdr:row>32</xdr:row>
      <xdr:rowOff>85725</xdr:rowOff>
    </xdr:to>
    <xdr:graphicFrame macro="">
      <xdr:nvGraphicFramePr>
        <xdr:cNvPr id="2" name="Graphique_C15">
          <a:extLst>
            <a:ext uri="{FF2B5EF4-FFF2-40B4-BE49-F238E27FC236}">
              <a16:creationId xmlns:a16="http://schemas.microsoft.com/office/drawing/2014/main" id="{AA9CFCA5-357E-4751-9CF5-90CEE2514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12</xdr:row>
      <xdr:rowOff>133350</xdr:rowOff>
    </xdr:from>
    <xdr:to>
      <xdr:col>9</xdr:col>
      <xdr:colOff>9526</xdr:colOff>
      <xdr:row>32</xdr:row>
      <xdr:rowOff>133350</xdr:rowOff>
    </xdr:to>
    <xdr:graphicFrame macro="">
      <xdr:nvGraphicFramePr>
        <xdr:cNvPr id="3" name="Graphique_G15">
          <a:extLst>
            <a:ext uri="{FF2B5EF4-FFF2-40B4-BE49-F238E27FC236}">
              <a16:creationId xmlns:a16="http://schemas.microsoft.com/office/drawing/2014/main" id="{0B072BCC-E0E3-4BCB-A667-51BA76DFC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19049</xdr:colOff>
      <xdr:row>12</xdr:row>
      <xdr:rowOff>152400</xdr:rowOff>
    </xdr:from>
    <xdr:to>
      <xdr:col>12</xdr:col>
      <xdr:colOff>1152524</xdr:colOff>
      <xdr:row>33</xdr:row>
      <xdr:rowOff>0</xdr:rowOff>
    </xdr:to>
    <xdr:graphicFrame macro="">
      <xdr:nvGraphicFramePr>
        <xdr:cNvPr id="4" name="Graphique_K15">
          <a:extLst>
            <a:ext uri="{FF2B5EF4-FFF2-40B4-BE49-F238E27FC236}">
              <a16:creationId xmlns:a16="http://schemas.microsoft.com/office/drawing/2014/main" id="{AA50C423-848F-41AC-A9FF-404C75009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69</xdr:row>
      <xdr:rowOff>114300</xdr:rowOff>
    </xdr:from>
    <xdr:to>
      <xdr:col>5</xdr:col>
      <xdr:colOff>19050</xdr:colOff>
      <xdr:row>89</xdr:row>
      <xdr:rowOff>114300</xdr:rowOff>
    </xdr:to>
    <xdr:graphicFrame macro="">
      <xdr:nvGraphicFramePr>
        <xdr:cNvPr id="5" name="Graphique_C72">
          <a:extLst>
            <a:ext uri="{FF2B5EF4-FFF2-40B4-BE49-F238E27FC236}">
              <a16:creationId xmlns:a16="http://schemas.microsoft.com/office/drawing/2014/main" id="{94294753-BBC2-42E9-A701-737807E21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69</xdr:row>
      <xdr:rowOff>133350</xdr:rowOff>
    </xdr:from>
    <xdr:to>
      <xdr:col>9</xdr:col>
      <xdr:colOff>9525</xdr:colOff>
      <xdr:row>89</xdr:row>
      <xdr:rowOff>133350</xdr:rowOff>
    </xdr:to>
    <xdr:graphicFrame macro="">
      <xdr:nvGraphicFramePr>
        <xdr:cNvPr id="6" name="Graphique_G72">
          <a:extLst>
            <a:ext uri="{FF2B5EF4-FFF2-40B4-BE49-F238E27FC236}">
              <a16:creationId xmlns:a16="http://schemas.microsoft.com/office/drawing/2014/main" id="{B90263C7-05BA-48F8-9C57-A3192CA5F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1524000</xdr:colOff>
      <xdr:row>69</xdr:row>
      <xdr:rowOff>171450</xdr:rowOff>
    </xdr:from>
    <xdr:to>
      <xdr:col>12</xdr:col>
      <xdr:colOff>1123950</xdr:colOff>
      <xdr:row>89</xdr:row>
      <xdr:rowOff>171450</xdr:rowOff>
    </xdr:to>
    <xdr:graphicFrame macro="">
      <xdr:nvGraphicFramePr>
        <xdr:cNvPr id="7" name="Graphique_K72">
          <a:extLst>
            <a:ext uri="{FF2B5EF4-FFF2-40B4-BE49-F238E27FC236}">
              <a16:creationId xmlns:a16="http://schemas.microsoft.com/office/drawing/2014/main" id="{4D35D477-5855-4EF0-B490-9B2E69585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</xdr:colOff>
      <xdr:row>97</xdr:row>
      <xdr:rowOff>104775</xdr:rowOff>
    </xdr:from>
    <xdr:to>
      <xdr:col>5</xdr:col>
      <xdr:colOff>9525</xdr:colOff>
      <xdr:row>117</xdr:row>
      <xdr:rowOff>104775</xdr:rowOff>
    </xdr:to>
    <xdr:graphicFrame macro="">
      <xdr:nvGraphicFramePr>
        <xdr:cNvPr id="8" name="Graphique_C100">
          <a:extLst>
            <a:ext uri="{FF2B5EF4-FFF2-40B4-BE49-F238E27FC236}">
              <a16:creationId xmlns:a16="http://schemas.microsoft.com/office/drawing/2014/main" id="{BAA8EA29-9881-47D3-9BD9-7013154F9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97</xdr:row>
      <xdr:rowOff>85725</xdr:rowOff>
    </xdr:from>
    <xdr:to>
      <xdr:col>9</xdr:col>
      <xdr:colOff>19050</xdr:colOff>
      <xdr:row>117</xdr:row>
      <xdr:rowOff>85725</xdr:rowOff>
    </xdr:to>
    <xdr:graphicFrame macro="">
      <xdr:nvGraphicFramePr>
        <xdr:cNvPr id="9" name="Graphique_G100">
          <a:extLst>
            <a:ext uri="{FF2B5EF4-FFF2-40B4-BE49-F238E27FC236}">
              <a16:creationId xmlns:a16="http://schemas.microsoft.com/office/drawing/2014/main" id="{E3051211-4943-4932-918D-0FC411B6B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97</xdr:row>
      <xdr:rowOff>66675</xdr:rowOff>
    </xdr:from>
    <xdr:to>
      <xdr:col>12</xdr:col>
      <xdr:colOff>1143000</xdr:colOff>
      <xdr:row>117</xdr:row>
      <xdr:rowOff>66675</xdr:rowOff>
    </xdr:to>
    <xdr:graphicFrame macro="">
      <xdr:nvGraphicFramePr>
        <xdr:cNvPr id="10" name="Graphique_K100">
          <a:extLst>
            <a:ext uri="{FF2B5EF4-FFF2-40B4-BE49-F238E27FC236}">
              <a16:creationId xmlns:a16="http://schemas.microsoft.com/office/drawing/2014/main" id="{10BBAAE9-372D-4606-89A1-0D69FC05F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126</xdr:row>
      <xdr:rowOff>152400</xdr:rowOff>
    </xdr:from>
    <xdr:to>
      <xdr:col>5</xdr:col>
      <xdr:colOff>0</xdr:colOff>
      <xdr:row>146</xdr:row>
      <xdr:rowOff>152400</xdr:rowOff>
    </xdr:to>
    <xdr:graphicFrame macro="">
      <xdr:nvGraphicFramePr>
        <xdr:cNvPr id="11" name="Graphique_C129">
          <a:extLst>
            <a:ext uri="{FF2B5EF4-FFF2-40B4-BE49-F238E27FC236}">
              <a16:creationId xmlns:a16="http://schemas.microsoft.com/office/drawing/2014/main" id="{86D65A74-70B9-4178-904E-4B6308273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1533525</xdr:colOff>
      <xdr:row>126</xdr:row>
      <xdr:rowOff>152400</xdr:rowOff>
    </xdr:from>
    <xdr:to>
      <xdr:col>8</xdr:col>
      <xdr:colOff>1552575</xdr:colOff>
      <xdr:row>146</xdr:row>
      <xdr:rowOff>152400</xdr:rowOff>
    </xdr:to>
    <xdr:graphicFrame macro="">
      <xdr:nvGraphicFramePr>
        <xdr:cNvPr id="12" name="Graphique_G129">
          <a:extLst>
            <a:ext uri="{FF2B5EF4-FFF2-40B4-BE49-F238E27FC236}">
              <a16:creationId xmlns:a16="http://schemas.microsoft.com/office/drawing/2014/main" id="{4ECEA3F7-0218-4BA3-ACDD-111CB276A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1524000</xdr:colOff>
      <xdr:row>126</xdr:row>
      <xdr:rowOff>142875</xdr:rowOff>
    </xdr:from>
    <xdr:to>
      <xdr:col>12</xdr:col>
      <xdr:colOff>1143000</xdr:colOff>
      <xdr:row>146</xdr:row>
      <xdr:rowOff>142875</xdr:rowOff>
    </xdr:to>
    <xdr:graphicFrame macro="">
      <xdr:nvGraphicFramePr>
        <xdr:cNvPr id="13" name="Graphique_K129">
          <a:extLst>
            <a:ext uri="{FF2B5EF4-FFF2-40B4-BE49-F238E27FC236}">
              <a16:creationId xmlns:a16="http://schemas.microsoft.com/office/drawing/2014/main" id="{BA6229F3-14E8-44E7-8869-4BF29513E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752475</xdr:colOff>
      <xdr:row>42</xdr:row>
      <xdr:rowOff>95250</xdr:rowOff>
    </xdr:from>
    <xdr:to>
      <xdr:col>5</xdr:col>
      <xdr:colOff>9525</xdr:colOff>
      <xdr:row>61</xdr:row>
      <xdr:rowOff>95250</xdr:rowOff>
    </xdr:to>
    <xdr:graphicFrame macro="">
      <xdr:nvGraphicFramePr>
        <xdr:cNvPr id="17" name="Graphique_C44">
          <a:extLst>
            <a:ext uri="{FF2B5EF4-FFF2-40B4-BE49-F238E27FC236}">
              <a16:creationId xmlns:a16="http://schemas.microsoft.com/office/drawing/2014/main" id="{C68B8A59-836E-4C94-A061-485045154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42</xdr:row>
      <xdr:rowOff>85725</xdr:rowOff>
    </xdr:from>
    <xdr:to>
      <xdr:col>12</xdr:col>
      <xdr:colOff>1143000</xdr:colOff>
      <xdr:row>61</xdr:row>
      <xdr:rowOff>85725</xdr:rowOff>
    </xdr:to>
    <xdr:graphicFrame macro="">
      <xdr:nvGraphicFramePr>
        <xdr:cNvPr id="18" name="Graphique_K44">
          <a:extLst>
            <a:ext uri="{FF2B5EF4-FFF2-40B4-BE49-F238E27FC236}">
              <a16:creationId xmlns:a16="http://schemas.microsoft.com/office/drawing/2014/main" id="{B18681EF-03E2-4C34-AA4A-71ED5B179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1533525</xdr:colOff>
      <xdr:row>42</xdr:row>
      <xdr:rowOff>104775</xdr:rowOff>
    </xdr:from>
    <xdr:to>
      <xdr:col>9</xdr:col>
      <xdr:colOff>0</xdr:colOff>
      <xdr:row>61</xdr:row>
      <xdr:rowOff>104775</xdr:rowOff>
    </xdr:to>
    <xdr:graphicFrame macro="">
      <xdr:nvGraphicFramePr>
        <xdr:cNvPr id="19" name="Graphique_G45">
          <a:extLst>
            <a:ext uri="{FF2B5EF4-FFF2-40B4-BE49-F238E27FC236}">
              <a16:creationId xmlns:a16="http://schemas.microsoft.com/office/drawing/2014/main" id="{E87CD9DC-FAEA-4D8E-8D7D-C44AA2552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2</xdr:col>
      <xdr:colOff>581025</xdr:colOff>
      <xdr:row>158</xdr:row>
      <xdr:rowOff>47628</xdr:rowOff>
    </xdr:from>
    <xdr:to>
      <xdr:col>4</xdr:col>
      <xdr:colOff>1104600</xdr:colOff>
      <xdr:row>174</xdr:row>
      <xdr:rowOff>9228</xdr:rowOff>
    </xdr:to>
    <xdr:pic>
      <xdr:nvPicPr>
        <xdr:cNvPr id="51" name="GAUC167">
          <a:extLst>
            <a:ext uri="{FF2B5EF4-FFF2-40B4-BE49-F238E27FC236}">
              <a16:creationId xmlns:a16="http://schemas.microsoft.com/office/drawing/2014/main" id="{BE2CEB37-D899-4784-85E0-A94E167F53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33804228"/>
          <a:ext cx="3009600" cy="30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733425</xdr:colOff>
      <xdr:row>158</xdr:row>
      <xdr:rowOff>47628</xdr:rowOff>
    </xdr:from>
    <xdr:to>
      <xdr:col>8</xdr:col>
      <xdr:colOff>1180800</xdr:colOff>
      <xdr:row>174</xdr:row>
      <xdr:rowOff>9228</xdr:rowOff>
    </xdr:to>
    <xdr:pic>
      <xdr:nvPicPr>
        <xdr:cNvPr id="53" name="GAUG167">
          <a:extLst>
            <a:ext uri="{FF2B5EF4-FFF2-40B4-BE49-F238E27FC236}">
              <a16:creationId xmlns:a16="http://schemas.microsoft.com/office/drawing/2014/main" id="{5F1DC8D6-DCBF-4034-9AA4-BF97376A9E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3804228"/>
          <a:ext cx="3009600" cy="30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628650</xdr:colOff>
      <xdr:row>158</xdr:row>
      <xdr:rowOff>69847</xdr:rowOff>
    </xdr:from>
    <xdr:to>
      <xdr:col>12</xdr:col>
      <xdr:colOff>685800</xdr:colOff>
      <xdr:row>174</xdr:row>
      <xdr:rowOff>31747</xdr:rowOff>
    </xdr:to>
    <xdr:pic>
      <xdr:nvPicPr>
        <xdr:cNvPr id="55" name="GAUK167">
          <a:extLst>
            <a:ext uri="{FF2B5EF4-FFF2-40B4-BE49-F238E27FC236}">
              <a16:creationId xmlns:a16="http://schemas.microsoft.com/office/drawing/2014/main" id="{1ED1AC12-DF9F-4B70-B717-DCD6B34D39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5425" y="33826447"/>
          <a:ext cx="3009900" cy="3009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</xdr:row>
      <xdr:rowOff>190499</xdr:rowOff>
    </xdr:from>
    <xdr:to>
      <xdr:col>5</xdr:col>
      <xdr:colOff>1</xdr:colOff>
      <xdr:row>33</xdr:row>
      <xdr:rowOff>180974</xdr:rowOff>
    </xdr:to>
    <xdr:graphicFrame macro="">
      <xdr:nvGraphicFramePr>
        <xdr:cNvPr id="2" name="Graphique_C15">
          <a:extLst>
            <a:ext uri="{FF2B5EF4-FFF2-40B4-BE49-F238E27FC236}">
              <a16:creationId xmlns:a16="http://schemas.microsoft.com/office/drawing/2014/main" id="{9F3E8377-727C-41B6-BB99-212965CEB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1533526</xdr:colOff>
      <xdr:row>13</xdr:row>
      <xdr:rowOff>9524</xdr:rowOff>
    </xdr:from>
    <xdr:to>
      <xdr:col>9</xdr:col>
      <xdr:colOff>1</xdr:colOff>
      <xdr:row>33</xdr:row>
      <xdr:rowOff>190499</xdr:rowOff>
    </xdr:to>
    <xdr:graphicFrame macro="">
      <xdr:nvGraphicFramePr>
        <xdr:cNvPr id="3" name="Graphique_G15">
          <a:extLst>
            <a:ext uri="{FF2B5EF4-FFF2-40B4-BE49-F238E27FC236}">
              <a16:creationId xmlns:a16="http://schemas.microsoft.com/office/drawing/2014/main" id="{182757A7-F45F-4370-B53E-1C5B4AECE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142875</xdr:colOff>
      <xdr:row>68</xdr:row>
      <xdr:rowOff>9525</xdr:rowOff>
    </xdr:from>
    <xdr:to>
      <xdr:col>4</xdr:col>
      <xdr:colOff>358875</xdr:colOff>
      <xdr:row>72</xdr:row>
      <xdr:rowOff>16655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06FB120-0873-4190-AAA9-4932FCF42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9525" y="14163675"/>
          <a:ext cx="216000" cy="769130"/>
        </a:xfrm>
        <a:prstGeom prst="rect">
          <a:avLst/>
        </a:prstGeom>
      </xdr:spPr>
    </xdr:pic>
    <xdr:clientData/>
  </xdr:twoCellAnchor>
  <xdr:twoCellAnchor editAs="oneCell">
    <xdr:from>
      <xdr:col>4</xdr:col>
      <xdr:colOff>981075</xdr:colOff>
      <xdr:row>72</xdr:row>
      <xdr:rowOff>76200</xdr:rowOff>
    </xdr:from>
    <xdr:to>
      <xdr:col>4</xdr:col>
      <xdr:colOff>1197075</xdr:colOff>
      <xdr:row>76</xdr:row>
      <xdr:rowOff>7568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49D9E47-8CF6-4258-BE1B-1343C6116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657725" y="14992350"/>
          <a:ext cx="216000" cy="693368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68</xdr:row>
      <xdr:rowOff>0</xdr:rowOff>
    </xdr:from>
    <xdr:to>
      <xdr:col>10</xdr:col>
      <xdr:colOff>387450</xdr:colOff>
      <xdr:row>72</xdr:row>
      <xdr:rowOff>7130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3A0A365-2370-4D4F-864D-FE3082F93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468225" y="14154150"/>
          <a:ext cx="216000" cy="769130"/>
        </a:xfrm>
        <a:prstGeom prst="rect">
          <a:avLst/>
        </a:prstGeom>
      </xdr:spPr>
    </xdr:pic>
    <xdr:clientData/>
  </xdr:twoCellAnchor>
  <xdr:twoCellAnchor editAs="oneCell">
    <xdr:from>
      <xdr:col>10</xdr:col>
      <xdr:colOff>1009650</xdr:colOff>
      <xdr:row>72</xdr:row>
      <xdr:rowOff>66675</xdr:rowOff>
    </xdr:from>
    <xdr:to>
      <xdr:col>10</xdr:col>
      <xdr:colOff>1225650</xdr:colOff>
      <xdr:row>75</xdr:row>
      <xdr:rowOff>179018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0418282-BA06-43C9-88E0-60417571F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3306425" y="14982825"/>
          <a:ext cx="216000" cy="693368"/>
        </a:xfrm>
        <a:prstGeom prst="rect">
          <a:avLst/>
        </a:prstGeom>
      </xdr:spPr>
    </xdr:pic>
    <xdr:clientData/>
  </xdr:twoCellAnchor>
  <xdr:twoCellAnchor>
    <xdr:from>
      <xdr:col>7</xdr:col>
      <xdr:colOff>1143001</xdr:colOff>
      <xdr:row>39</xdr:row>
      <xdr:rowOff>0</xdr:rowOff>
    </xdr:from>
    <xdr:to>
      <xdr:col>11</xdr:col>
      <xdr:colOff>0</xdr:colOff>
      <xdr:row>59</xdr:row>
      <xdr:rowOff>0</xdr:rowOff>
    </xdr:to>
    <xdr:graphicFrame macro="">
      <xdr:nvGraphicFramePr>
        <xdr:cNvPr id="9" name="Graphique_I44">
          <a:extLst>
            <a:ext uri="{FF2B5EF4-FFF2-40B4-BE49-F238E27FC236}">
              <a16:creationId xmlns:a16="http://schemas.microsoft.com/office/drawing/2014/main" id="{7F001732-9F2F-4F4A-A141-7711F2885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6</xdr:col>
      <xdr:colOff>1409699</xdr:colOff>
      <xdr:row>59</xdr:row>
      <xdr:rowOff>0</xdr:rowOff>
    </xdr:to>
    <xdr:graphicFrame macro="">
      <xdr:nvGraphicFramePr>
        <xdr:cNvPr id="10" name="Graphique_F47">
          <a:extLst>
            <a:ext uri="{FF2B5EF4-FFF2-40B4-BE49-F238E27FC236}">
              <a16:creationId xmlns:a16="http://schemas.microsoft.com/office/drawing/2014/main" id="{82EA55AA-A457-49C2-B469-61EFD079F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20</xdr:row>
      <xdr:rowOff>171450</xdr:rowOff>
    </xdr:from>
    <xdr:to>
      <xdr:col>11</xdr:col>
      <xdr:colOff>1533525</xdr:colOff>
      <xdr:row>40</xdr:row>
      <xdr:rowOff>171450</xdr:rowOff>
    </xdr:to>
    <xdr:graphicFrame macro="">
      <xdr:nvGraphicFramePr>
        <xdr:cNvPr id="12" name="Graphique_I22">
          <a:extLst>
            <a:ext uri="{FF2B5EF4-FFF2-40B4-BE49-F238E27FC236}">
              <a16:creationId xmlns:a16="http://schemas.microsoft.com/office/drawing/2014/main" id="{93A71111-181B-4E98-889F-AF29C44C9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161925</xdr:rowOff>
    </xdr:from>
    <xdr:to>
      <xdr:col>7</xdr:col>
      <xdr:colOff>9525</xdr:colOff>
      <xdr:row>40</xdr:row>
      <xdr:rowOff>161925</xdr:rowOff>
    </xdr:to>
    <xdr:graphicFrame macro="">
      <xdr:nvGraphicFramePr>
        <xdr:cNvPr id="13" name="Graphique_D22">
          <a:extLst>
            <a:ext uri="{FF2B5EF4-FFF2-40B4-BE49-F238E27FC236}">
              <a16:creationId xmlns:a16="http://schemas.microsoft.com/office/drawing/2014/main" id="{971D6CE3-DD34-47C6-B27E-1290B8D55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1152524</xdr:colOff>
      <xdr:row>46</xdr:row>
      <xdr:rowOff>95250</xdr:rowOff>
    </xdr:from>
    <xdr:to>
      <xdr:col>12</xdr:col>
      <xdr:colOff>323849</xdr:colOff>
      <xdr:row>60</xdr:row>
      <xdr:rowOff>28575</xdr:rowOff>
    </xdr:to>
    <xdr:graphicFrame macro="">
      <xdr:nvGraphicFramePr>
        <xdr:cNvPr id="14" name="Graphique_D49">
          <a:extLst>
            <a:ext uri="{FF2B5EF4-FFF2-40B4-BE49-F238E27FC236}">
              <a16:creationId xmlns:a16="http://schemas.microsoft.com/office/drawing/2014/main" id="{9559F73E-C9C8-4724-AFCC-ADE005A68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704850</xdr:colOff>
      <xdr:row>64</xdr:row>
      <xdr:rowOff>66675</xdr:rowOff>
    </xdr:from>
    <xdr:to>
      <xdr:col>6</xdr:col>
      <xdr:colOff>644525</xdr:colOff>
      <xdr:row>84</xdr:row>
      <xdr:rowOff>66675</xdr:rowOff>
    </xdr:to>
    <xdr:graphicFrame macro="">
      <xdr:nvGraphicFramePr>
        <xdr:cNvPr id="15" name="Graphique_C66">
          <a:extLst>
            <a:ext uri="{FF2B5EF4-FFF2-40B4-BE49-F238E27FC236}">
              <a16:creationId xmlns:a16="http://schemas.microsoft.com/office/drawing/2014/main" id="{84873BE1-AC1A-495E-9AD8-4F56CEEEA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1019174</xdr:colOff>
      <xdr:row>117</xdr:row>
      <xdr:rowOff>47625</xdr:rowOff>
    </xdr:from>
    <xdr:to>
      <xdr:col>7</xdr:col>
      <xdr:colOff>314324</xdr:colOff>
      <xdr:row>137</xdr:row>
      <xdr:rowOff>38100</xdr:rowOff>
    </xdr:to>
    <xdr:graphicFrame macro="">
      <xdr:nvGraphicFramePr>
        <xdr:cNvPr id="16" name="Graphique_D120">
          <a:extLst>
            <a:ext uri="{FF2B5EF4-FFF2-40B4-BE49-F238E27FC236}">
              <a16:creationId xmlns:a16="http://schemas.microsoft.com/office/drawing/2014/main" id="{58DB1E50-1F19-4F42-B813-13546E57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1047750</xdr:colOff>
      <xdr:row>117</xdr:row>
      <xdr:rowOff>38100</xdr:rowOff>
    </xdr:from>
    <xdr:to>
      <xdr:col>12</xdr:col>
      <xdr:colOff>152400</xdr:colOff>
      <xdr:row>137</xdr:row>
      <xdr:rowOff>28575</xdr:rowOff>
    </xdr:to>
    <xdr:graphicFrame macro="">
      <xdr:nvGraphicFramePr>
        <xdr:cNvPr id="17" name="Graphique_I120">
          <a:extLst>
            <a:ext uri="{FF2B5EF4-FFF2-40B4-BE49-F238E27FC236}">
              <a16:creationId xmlns:a16="http://schemas.microsoft.com/office/drawing/2014/main" id="{AE6A4CF7-DAB7-40D9-BD74-E8467775F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771524</xdr:colOff>
      <xdr:row>64</xdr:row>
      <xdr:rowOff>104775</xdr:rowOff>
    </xdr:from>
    <xdr:to>
      <xdr:col>12</xdr:col>
      <xdr:colOff>1085849</xdr:colOff>
      <xdr:row>84</xdr:row>
      <xdr:rowOff>104775</xdr:rowOff>
    </xdr:to>
    <xdr:graphicFrame macro="">
      <xdr:nvGraphicFramePr>
        <xdr:cNvPr id="20" name="Graphique_I67">
          <a:extLst>
            <a:ext uri="{FF2B5EF4-FFF2-40B4-BE49-F238E27FC236}">
              <a16:creationId xmlns:a16="http://schemas.microsoft.com/office/drawing/2014/main" id="{BB2825F4-EF67-4AB8-988F-79F0712C3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76199</xdr:colOff>
      <xdr:row>91</xdr:row>
      <xdr:rowOff>123825</xdr:rowOff>
    </xdr:from>
    <xdr:to>
      <xdr:col>12</xdr:col>
      <xdr:colOff>28574</xdr:colOff>
      <xdr:row>112</xdr:row>
      <xdr:rowOff>104775</xdr:rowOff>
    </xdr:to>
    <xdr:graphicFrame macro="">
      <xdr:nvGraphicFramePr>
        <xdr:cNvPr id="21" name="Graphique_D96">
          <a:extLst>
            <a:ext uri="{FF2B5EF4-FFF2-40B4-BE49-F238E27FC236}">
              <a16:creationId xmlns:a16="http://schemas.microsoft.com/office/drawing/2014/main" id="{B373A188-944F-4C8B-86A4-37D3F7BEB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447669</xdr:colOff>
      <xdr:row>142</xdr:row>
      <xdr:rowOff>166687</xdr:rowOff>
    </xdr:from>
    <xdr:to>
      <xdr:col>11</xdr:col>
      <xdr:colOff>904869</xdr:colOff>
      <xdr:row>165</xdr:row>
      <xdr:rowOff>14287</xdr:rowOff>
    </xdr:to>
    <xdr:graphicFrame macro="">
      <xdr:nvGraphicFramePr>
        <xdr:cNvPr id="22" name="Graphique_D145">
          <a:extLst>
            <a:ext uri="{FF2B5EF4-FFF2-40B4-BE49-F238E27FC236}">
              <a16:creationId xmlns:a16="http://schemas.microsoft.com/office/drawing/2014/main" id="{798996D5-9FAD-4CC6-A928-FCB7172AD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5D9D-4C8A-450D-BDD9-5A14DDEC720C}">
  <dimension ref="A1:Y21"/>
  <sheetViews>
    <sheetView showGridLines="0" tabSelected="1" workbookViewId="0">
      <selection sqref="A1:Y1"/>
    </sheetView>
  </sheetViews>
  <sheetFormatPr baseColWidth="10" defaultColWidth="11.42578125" defaultRowHeight="16.5" x14ac:dyDescent="0.3"/>
  <cols>
    <col min="1" max="3" width="10.5703125" style="24" customWidth="1"/>
    <col min="4" max="11" width="11.42578125" style="24"/>
    <col min="12" max="12" width="11.28515625" style="24" customWidth="1"/>
    <col min="13" max="13" width="1.28515625" style="24" hidden="1" customWidth="1"/>
    <col min="14" max="14" width="23.28515625" style="24" customWidth="1"/>
    <col min="15" max="16384" width="11.42578125" style="24"/>
  </cols>
  <sheetData>
    <row r="1" spans="1:25" ht="90.75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1.25" customHeight="1" x14ac:dyDescent="0.3"/>
    <row r="3" spans="1:25" ht="11.25" customHeight="1" x14ac:dyDescent="0.3"/>
    <row r="4" spans="1:25" ht="11.25" customHeight="1" x14ac:dyDescent="0.3"/>
    <row r="5" spans="1:25" ht="11.25" customHeight="1" x14ac:dyDescent="0.3"/>
    <row r="6" spans="1:25" ht="11.25" customHeight="1" x14ac:dyDescent="0.3"/>
    <row r="7" spans="1:25" ht="11.25" customHeight="1" x14ac:dyDescent="0.3"/>
    <row r="8" spans="1:25" ht="28.5" customHeight="1" x14ac:dyDescent="0.3">
      <c r="E8" s="46" t="s">
        <v>1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11" spans="1:25" ht="32.25" customHeight="1" x14ac:dyDescent="0.3">
      <c r="E11" s="43" t="s">
        <v>2</v>
      </c>
      <c r="F11" s="44"/>
      <c r="G11" s="44"/>
      <c r="H11" s="44"/>
      <c r="I11" s="44"/>
      <c r="J11" s="44"/>
      <c r="K11" s="44"/>
      <c r="L11" s="44"/>
      <c r="M11" s="34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13,G=0,T=0,P=0,O=NF='Texte'_B='0'_U='0'_I='0'_FN='Calibri'_FS='10'_FC='#000000'_BC='#FFFFFF'_AH='1'_AV='1'_Br=[]_BrS='0'_BrC='#FFFFFF'_WpT='0':E=0"&amp;",S=54,G=0,T=0,P=0,O=NF='Texte'_B='0'_U='0'_I='0'_FN='Calibri'_FS='10'_FC='#000000'_BC='#FFFFFF'_AH='1'_AV='1'_Br=[]_BrS='0'_BrC='#FFFFFF'_WpT='0':")</f>
        <v>Entreprise - SIREN</v>
      </c>
      <c r="N11" s="37">
        <v>995002433</v>
      </c>
      <c r="O11" s="35"/>
      <c r="P11" s="35"/>
      <c r="Q11" s="35"/>
      <c r="R11" s="35"/>
      <c r="S11" s="35"/>
      <c r="T11" s="35"/>
      <c r="U11" s="36"/>
      <c r="V11" s="25"/>
      <c r="W11" s="25"/>
    </row>
    <row r="12" spans="1:25" x14ac:dyDescent="0.3"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5" x14ac:dyDescent="0.3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5" ht="32.25" customHeight="1" x14ac:dyDescent="0.3">
      <c r="E14" s="43" t="s">
        <v>4</v>
      </c>
      <c r="F14" s="44"/>
      <c r="G14" s="44"/>
      <c r="H14" s="44"/>
      <c r="I14" s="44"/>
      <c r="J14" s="44"/>
      <c r="K14" s="44"/>
      <c r="L14" s="44"/>
      <c r="M14" s="34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14,G=0,T=0,P=0,O=NF='Texte'_B='0'_U='0'_I='0'_FN='Calibri'_FS='10'_FC='#000000'_BC='#FFFFFF'_AH='1'_AV='1'_Br=[]_BrS='0'_BrC='#FFFFFF'_WpT='0':E=0"&amp;",S=55,G=0,T=0,P=0,O=NF='Texte'_B='0'_U='0'_I='0'_FN='Calibri'_FS='10'_FC='#000000'_BC='#FFFFFF'_AH='1'_AV='1'_Br=[]_BrS='0'_BrC='#FFFFFF'_WpT='0':@R=A,S=13,V={0}:",$N$11)</f>
        <v>Etablissement - NIC</v>
      </c>
      <c r="N14" s="38" t="s">
        <v>3</v>
      </c>
      <c r="O14" s="35"/>
      <c r="P14" s="35"/>
      <c r="Q14" s="35"/>
      <c r="R14" s="35"/>
      <c r="S14" s="35"/>
      <c r="T14" s="35"/>
      <c r="U14" s="36"/>
      <c r="V14" s="25"/>
      <c r="W14" s="25"/>
    </row>
    <row r="15" spans="1:25" x14ac:dyDescent="0.3"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5" x14ac:dyDescent="0.3"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5:23" ht="32.25" customHeight="1" x14ac:dyDescent="0.3">
      <c r="E17" s="43" t="s">
        <v>5</v>
      </c>
      <c r="F17" s="44"/>
      <c r="G17" s="44"/>
      <c r="H17" s="44"/>
      <c r="I17" s="44"/>
      <c r="J17" s="44"/>
      <c r="K17" s="44"/>
      <c r="L17" s="44"/>
      <c r="M17" s="31"/>
      <c r="N17" s="41">
        <v>43982</v>
      </c>
      <c r="O17" s="41"/>
      <c r="P17" s="41"/>
      <c r="Q17" s="41"/>
      <c r="R17" s="41"/>
      <c r="S17" s="41"/>
      <c r="T17" s="41"/>
      <c r="U17" s="42"/>
      <c r="V17" s="25"/>
      <c r="W17" s="25"/>
    </row>
    <row r="18" spans="5:23" x14ac:dyDescent="0.3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5:23" x14ac:dyDescent="0.3"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5:23" ht="24" customHeight="1" x14ac:dyDescent="0.3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5:23" x14ac:dyDescent="0.3"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</sheetData>
  <mergeCells count="6">
    <mergeCell ref="N17:U17"/>
    <mergeCell ref="E17:L17"/>
    <mergeCell ref="A1:Y1"/>
    <mergeCell ref="E8:U8"/>
    <mergeCell ref="E11:L11"/>
    <mergeCell ref="E14:L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3E1C-B55B-4ACA-B371-569990CFBB1F}">
  <dimension ref="B1:T140"/>
  <sheetViews>
    <sheetView showGridLines="0" zoomScaleNormal="100" workbookViewId="0">
      <pane ySplit="1" topLeftCell="A2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6.42578125" customWidth="1"/>
    <col min="3" max="3" width="17.28515625" customWidth="1"/>
    <col min="4" max="4" width="23.140625" customWidth="1"/>
    <col min="5" max="5" width="21.140625" customWidth="1"/>
    <col min="6" max="6" width="23.57031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  <col min="17" max="17" width="13" bestFit="1" customWidth="1"/>
    <col min="18" max="18" width="10.7109375" bestFit="1" customWidth="1"/>
    <col min="19" max="19" width="9" customWidth="1"/>
    <col min="20" max="20" width="17.42578125" customWidth="1"/>
    <col min="21" max="21" width="13.140625" customWidth="1"/>
    <col min="22" max="22" width="12.28515625" customWidth="1"/>
  </cols>
  <sheetData>
    <row r="1" spans="2:20" ht="58.5" customHeight="1" x14ac:dyDescent="0.25">
      <c r="B1" s="47" t="str">
        <f>"ANALYSE DES EFFECTIFS AU "&amp;TEXT(L6,"JJ/MM/AAAA")</f>
        <v>ANALYSE DES EFFECTIFS AU 31/05/2020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0" ht="2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0" ht="21" customHeight="1" x14ac:dyDescent="0.25">
      <c r="B3" s="5"/>
      <c r="N3" s="6"/>
    </row>
    <row r="4" spans="2:20" ht="21" customHeight="1" x14ac:dyDescent="0.25">
      <c r="B4" s="5"/>
      <c r="N4" s="6"/>
    </row>
    <row r="5" spans="2:20" ht="44.25" customHeight="1" x14ac:dyDescent="0.25">
      <c r="B5" s="5"/>
      <c r="D5" s="23" t="s">
        <v>2</v>
      </c>
      <c r="F5" s="23" t="s">
        <v>4</v>
      </c>
      <c r="L5" s="23" t="s">
        <v>6</v>
      </c>
      <c r="N5" s="6"/>
      <c r="Q5" s="26" t="s">
        <v>7</v>
      </c>
      <c r="R5" s="27">
        <f>EOMONTH(S5,0)</f>
        <v>43861</v>
      </c>
      <c r="S5" s="26" t="str">
        <f>"01/"&amp;"01/"&amp;TEXT(R6,"aaaa")</f>
        <v>01/01/2020</v>
      </c>
      <c r="T5" s="26" t="str">
        <f>MID(S5,7,4)&amp;MID(S5,4,2)&amp;".."&amp;MID(S6,7,4)&amp;MID(S6,4,2)</f>
        <v>202001..202005</v>
      </c>
    </row>
    <row r="6" spans="2:20" ht="26.25" customHeight="1" x14ac:dyDescent="0.25">
      <c r="B6" s="5"/>
      <c r="D6" s="13">
        <f>ACCUEIL!N11</f>
        <v>995002433</v>
      </c>
      <c r="F6" s="13" t="str">
        <f>ACCUEIL!N14</f>
        <v>*</v>
      </c>
      <c r="L6" s="14">
        <f>ACCUEIL!$N$17</f>
        <v>43982</v>
      </c>
      <c r="N6" s="6"/>
      <c r="Q6" s="26" t="s">
        <v>8</v>
      </c>
      <c r="R6" s="27">
        <f>L6</f>
        <v>43982</v>
      </c>
      <c r="S6" s="26" t="str">
        <f>"01/"&amp;TEXT(R6,"mm")&amp;"/"&amp;TEXT(R6,"aaaa")</f>
        <v>01/05/2020</v>
      </c>
      <c r="T6" s="26"/>
    </row>
    <row r="7" spans="2:20" ht="21" customHeight="1" x14ac:dyDescent="0.25">
      <c r="B7" s="5"/>
      <c r="K7" s="7"/>
      <c r="N7" s="6"/>
    </row>
    <row r="8" spans="2:20" ht="21" customHeight="1" x14ac:dyDescent="0.25">
      <c r="B8" s="5"/>
      <c r="K8" s="7"/>
      <c r="N8" s="6"/>
    </row>
    <row r="9" spans="2:20" ht="21" customHeight="1" x14ac:dyDescent="0.25">
      <c r="B9" s="5"/>
      <c r="K9" s="7"/>
      <c r="N9" s="6"/>
    </row>
    <row r="10" spans="2:20" ht="34.5" customHeight="1" x14ac:dyDescent="0.25">
      <c r="B10" s="69" t="s">
        <v>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20" ht="17.25" customHeight="1" x14ac:dyDescent="0.25">
      <c r="B11" s="5"/>
      <c r="N11" s="6"/>
    </row>
    <row r="12" spans="2:20" x14ac:dyDescent="0.25">
      <c r="B12" s="5"/>
      <c r="N12" s="6"/>
    </row>
    <row r="13" spans="2:20" x14ac:dyDescent="0.25">
      <c r="B13" s="5"/>
      <c r="D13" s="48">
        <f>_xll.Assistant.XL.RIK_AC("INF54__;INF03@E=1,S=5,G=0,T=0,P=0:@R=A,S=1,V={0}:R=B,S=36,V=FEMME:R=C,S=13,V={1}:R=D,S=14,V={2}:",D$17,$D$6,$F$6)</f>
        <v>15</v>
      </c>
      <c r="E13" s="83"/>
      <c r="F13" s="50">
        <f>D13/G13-1</f>
        <v>0</v>
      </c>
      <c r="G13" s="53">
        <f>_xll.Assistant.XL.RIK_AC("INF54__;INF03@E=1,S=5,G=0,T=0,P=0:@R=A,S=1,V={0}:R=B,S=36,V=FEMME:R=C,S=13,V={1}:R=D,S=14,V={2}:",G$17,$D$6,$F$6)</f>
        <v>15</v>
      </c>
      <c r="I13" s="64">
        <f>_xll.Assistant.XL.RIK_AC("INF54__;INF03@E=1,S=5,G=0,T=0,P=0:@R=A,S=1,V={0}:R=B,S=36,V=HOMME:R=C,S=13,V={1}:R=D,S=14,V={2}:",I$17,$D$6,$F$6)</f>
        <v>23</v>
      </c>
      <c r="J13" s="83"/>
      <c r="K13" s="66">
        <f>I13/L13-1</f>
        <v>4.5454545454545414E-2</v>
      </c>
      <c r="L13" s="72">
        <f>_xll.Assistant.XL.RIK_AC("INF54__;INF03@E=1,S=5,G=0,T=0,P=0:@R=A,S=1,V={0}:R=B,S=36,V=HOMME:R=C,S=13,V={1}:R=D,S=14,V={2}:",L$17,$D$6,$F$6)</f>
        <v>22</v>
      </c>
      <c r="N13" s="6"/>
    </row>
    <row r="14" spans="2:20" x14ac:dyDescent="0.25">
      <c r="B14" s="5"/>
      <c r="D14" s="49"/>
      <c r="E14" s="84"/>
      <c r="F14" s="51"/>
      <c r="G14" s="54"/>
      <c r="I14" s="65"/>
      <c r="J14" s="84"/>
      <c r="K14" s="67"/>
      <c r="L14" s="73"/>
      <c r="N14" s="6"/>
    </row>
    <row r="15" spans="2:20" x14ac:dyDescent="0.25">
      <c r="B15" s="5"/>
      <c r="D15" s="49"/>
      <c r="E15" s="84"/>
      <c r="F15" s="51"/>
      <c r="G15" s="54"/>
      <c r="I15" s="65"/>
      <c r="J15" s="84"/>
      <c r="K15" s="67"/>
      <c r="L15" s="73"/>
      <c r="N15" s="6"/>
    </row>
    <row r="16" spans="2:20" ht="17.25" x14ac:dyDescent="0.25">
      <c r="B16" s="5"/>
      <c r="D16" s="19" t="s">
        <v>10</v>
      </c>
      <c r="E16" s="84"/>
      <c r="F16" s="51"/>
      <c r="G16" s="21" t="s">
        <v>10</v>
      </c>
      <c r="I16" s="17" t="s">
        <v>11</v>
      </c>
      <c r="J16" s="84"/>
      <c r="K16" s="67"/>
      <c r="L16" s="15" t="s">
        <v>11</v>
      </c>
      <c r="N16" s="6"/>
    </row>
    <row r="17" spans="2:14" ht="17.25" x14ac:dyDescent="0.25">
      <c r="B17" s="5"/>
      <c r="D17" s="20">
        <f>R6</f>
        <v>43982</v>
      </c>
      <c r="E17" s="85"/>
      <c r="F17" s="52"/>
      <c r="G17" s="22">
        <f>R5</f>
        <v>43861</v>
      </c>
      <c r="I17" s="18" t="str">
        <f>S6</f>
        <v>01/05/2020</v>
      </c>
      <c r="J17" s="85"/>
      <c r="K17" s="68"/>
      <c r="L17" s="16">
        <f>R5</f>
        <v>43861</v>
      </c>
      <c r="N17" s="6"/>
    </row>
    <row r="18" spans="2:14" x14ac:dyDescent="0.25">
      <c r="B18" s="5"/>
      <c r="D18" s="55" t="s">
        <v>12</v>
      </c>
      <c r="E18" s="56"/>
      <c r="F18" s="56"/>
      <c r="G18" s="57"/>
      <c r="I18" s="74" t="s">
        <v>13</v>
      </c>
      <c r="J18" s="75"/>
      <c r="K18" s="75"/>
      <c r="L18" s="76"/>
      <c r="N18" s="6"/>
    </row>
    <row r="19" spans="2:14" x14ac:dyDescent="0.25">
      <c r="B19" s="5"/>
      <c r="D19" s="58"/>
      <c r="E19" s="59"/>
      <c r="F19" s="59"/>
      <c r="G19" s="60"/>
      <c r="I19" s="77"/>
      <c r="J19" s="78"/>
      <c r="K19" s="78"/>
      <c r="L19" s="79"/>
      <c r="N19" s="6"/>
    </row>
    <row r="20" spans="2:14" x14ac:dyDescent="0.25">
      <c r="B20" s="5"/>
      <c r="D20" s="61"/>
      <c r="E20" s="62"/>
      <c r="F20" s="62"/>
      <c r="G20" s="63"/>
      <c r="I20" s="80"/>
      <c r="J20" s="81"/>
      <c r="K20" s="81"/>
      <c r="L20" s="82"/>
      <c r="N20" s="6"/>
    </row>
    <row r="21" spans="2:14" x14ac:dyDescent="0.25">
      <c r="B21" s="5"/>
      <c r="N21" s="6"/>
    </row>
    <row r="22" spans="2:14" x14ac:dyDescent="0.25">
      <c r="B22" s="5"/>
      <c r="D22" t="str">
        <f>_xll.Assistant.XL.RIK_AG("INF54_0_0_0_0_0_0_D=0x0;INF03@E=0,S=4,G=0,T=0_0,P=-1@E=1,S=5@@@R=A,S=4,V={0}:R=B,S=13,V={1}:R=C,S=14,V={2}:R=D,S=36,V=FEMME:",$T$5,$D$6,$F$6)</f>
        <v/>
      </c>
      <c r="I22" t="str">
        <f>_xll.Assistant.XL.RIK_AG("INF54_0_0_0_0_0_0_D=0x0;INF03@E=0,S=4,G=0,T=0_0,P=-1@E=1,S=5@@@R=A,S=4,V={0}:R=B,S=13,V={1}:R=C,S=14,V={2}:R=D,S=36,V=HOMME:",$T$5,$D$6,$F$6)</f>
        <v/>
      </c>
      <c r="N22" s="6"/>
    </row>
    <row r="23" spans="2:14" x14ac:dyDescent="0.25">
      <c r="B23" s="5"/>
      <c r="F23" s="8"/>
      <c r="N23" s="6"/>
    </row>
    <row r="24" spans="2:14" x14ac:dyDescent="0.25">
      <c r="B24" s="5"/>
      <c r="N24" s="6"/>
    </row>
    <row r="25" spans="2:14" x14ac:dyDescent="0.25">
      <c r="B25" s="5"/>
      <c r="N25" s="6"/>
    </row>
    <row r="26" spans="2:14" x14ac:dyDescent="0.25">
      <c r="B26" s="5"/>
      <c r="N26" s="6"/>
    </row>
    <row r="27" spans="2:14" x14ac:dyDescent="0.25">
      <c r="B27" s="5"/>
      <c r="N27" s="6"/>
    </row>
    <row r="28" spans="2:14" x14ac:dyDescent="0.25">
      <c r="B28" s="5"/>
      <c r="N28" s="6"/>
    </row>
    <row r="29" spans="2:14" x14ac:dyDescent="0.25">
      <c r="B29" s="5"/>
      <c r="N29" s="6"/>
    </row>
    <row r="30" spans="2:14" x14ac:dyDescent="0.25">
      <c r="B30" s="5"/>
      <c r="N30" s="6"/>
    </row>
    <row r="31" spans="2:14" x14ac:dyDescent="0.25">
      <c r="B31" s="5"/>
      <c r="D31" s="9"/>
      <c r="E31" s="8"/>
      <c r="N31" s="6"/>
    </row>
    <row r="32" spans="2:14" x14ac:dyDescent="0.25">
      <c r="B32" s="5"/>
      <c r="N32" s="6"/>
    </row>
    <row r="33" spans="2:14" x14ac:dyDescent="0.25">
      <c r="B33" s="5"/>
      <c r="N33" s="6"/>
    </row>
    <row r="34" spans="2:14" x14ac:dyDescent="0.25">
      <c r="B34" s="5"/>
      <c r="N34" s="6"/>
    </row>
    <row r="35" spans="2:14" x14ac:dyDescent="0.25">
      <c r="B35" s="5"/>
      <c r="N35" s="6"/>
    </row>
    <row r="36" spans="2:14" x14ac:dyDescent="0.25">
      <c r="B36" s="5"/>
      <c r="N36" s="6"/>
    </row>
    <row r="37" spans="2:14" x14ac:dyDescent="0.25">
      <c r="B37" s="5"/>
      <c r="N37" s="6"/>
    </row>
    <row r="38" spans="2:14" x14ac:dyDescent="0.25">
      <c r="B38" s="5"/>
      <c r="N38" s="6"/>
    </row>
    <row r="39" spans="2:14" x14ac:dyDescent="0.25">
      <c r="B39" s="5"/>
      <c r="N39" s="6"/>
    </row>
    <row r="40" spans="2:14" x14ac:dyDescent="0.25">
      <c r="B40" s="5"/>
      <c r="N40" s="6"/>
    </row>
    <row r="41" spans="2:14" x14ac:dyDescent="0.25">
      <c r="B41" s="5"/>
      <c r="N41" s="6"/>
    </row>
    <row r="42" spans="2:14" x14ac:dyDescent="0.25">
      <c r="B42" s="5"/>
      <c r="N42" s="6"/>
    </row>
    <row r="43" spans="2:14" x14ac:dyDescent="0.25">
      <c r="B43" s="5"/>
      <c r="N43" s="6"/>
    </row>
    <row r="44" spans="2:14" x14ac:dyDescent="0.25">
      <c r="B44" s="5"/>
      <c r="N44" s="6"/>
    </row>
    <row r="45" spans="2:14" ht="34.5" customHeight="1" x14ac:dyDescent="0.25">
      <c r="B45" s="69" t="s">
        <v>14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</row>
    <row r="46" spans="2:14" x14ac:dyDescent="0.25">
      <c r="B46" s="5"/>
      <c r="N46" s="6"/>
    </row>
    <row r="47" spans="2:14" x14ac:dyDescent="0.25">
      <c r="B47" s="5"/>
      <c r="N47" s="6"/>
    </row>
    <row r="48" spans="2:14" x14ac:dyDescent="0.25">
      <c r="B48" s="5"/>
      <c r="N48" s="6"/>
    </row>
    <row r="49" spans="2:14" x14ac:dyDescent="0.25">
      <c r="B49" s="5"/>
      <c r="D49" t="str">
        <f>_xll.Assistant.XL.RIK_AG("INF54_0_0_0_0_0_0_D=0x0;INF03@E=0,S=4,G=0,T=0_0,P=-1@E=1,S=5@E=0,S=36,G=0,T=0_0,P=-1@@R=A,S=4,V={0}:R=B,S=13,V={1}:R=C,S=14,V={2}:",$T$5,$D$6,$F$6)</f>
        <v/>
      </c>
      <c r="N49" s="6"/>
    </row>
    <row r="50" spans="2:14" x14ac:dyDescent="0.25">
      <c r="B50" s="5"/>
      <c r="N50" s="6"/>
    </row>
    <row r="51" spans="2:14" x14ac:dyDescent="0.25">
      <c r="B51" s="5"/>
      <c r="N51" s="6"/>
    </row>
    <row r="52" spans="2:14" x14ac:dyDescent="0.25">
      <c r="B52" s="5"/>
      <c r="N52" s="6"/>
    </row>
    <row r="53" spans="2:14" x14ac:dyDescent="0.25">
      <c r="B53" s="5"/>
      <c r="N53" s="6"/>
    </row>
    <row r="54" spans="2:14" x14ac:dyDescent="0.25">
      <c r="B54" s="5"/>
      <c r="N54" s="6"/>
    </row>
    <row r="55" spans="2:14" x14ac:dyDescent="0.25">
      <c r="B55" s="5"/>
      <c r="N55" s="6"/>
    </row>
    <row r="56" spans="2:14" x14ac:dyDescent="0.25">
      <c r="B56" s="5"/>
      <c r="N56" s="6"/>
    </row>
    <row r="57" spans="2:14" x14ac:dyDescent="0.25">
      <c r="B57" s="5"/>
      <c r="N57" s="6"/>
    </row>
    <row r="58" spans="2:14" x14ac:dyDescent="0.25">
      <c r="B58" s="5"/>
      <c r="N58" s="6"/>
    </row>
    <row r="59" spans="2:14" x14ac:dyDescent="0.25">
      <c r="B59" s="5"/>
      <c r="N59" s="6"/>
    </row>
    <row r="60" spans="2:14" x14ac:dyDescent="0.25">
      <c r="B60" s="5"/>
      <c r="N60" s="6"/>
    </row>
    <row r="61" spans="2:14" x14ac:dyDescent="0.25">
      <c r="B61" s="5"/>
      <c r="N61" s="6"/>
    </row>
    <row r="62" spans="2:14" x14ac:dyDescent="0.25">
      <c r="B62" s="5"/>
      <c r="N62" s="6"/>
    </row>
    <row r="63" spans="2:14" ht="34.5" customHeight="1" x14ac:dyDescent="0.25">
      <c r="B63" s="69" t="s">
        <v>15</v>
      </c>
      <c r="C63" s="70"/>
      <c r="D63" s="70"/>
      <c r="E63" s="70"/>
      <c r="F63" s="70"/>
      <c r="G63" s="70"/>
      <c r="I63" s="69" t="s">
        <v>16</v>
      </c>
      <c r="J63" s="70"/>
      <c r="K63" s="70"/>
      <c r="L63" s="70"/>
      <c r="M63" s="70"/>
      <c r="N63" s="71"/>
    </row>
    <row r="64" spans="2:14" x14ac:dyDescent="0.25">
      <c r="B64" s="5"/>
      <c r="N64" s="6"/>
    </row>
    <row r="65" spans="2:14" x14ac:dyDescent="0.25">
      <c r="B65" s="5"/>
      <c r="N65" s="6"/>
    </row>
    <row r="66" spans="2:14" x14ac:dyDescent="0.25">
      <c r="B66" s="5"/>
      <c r="C66" t="str">
        <f>_xll.Assistant.XL.RIK_AG("INF54_0_0_0_0_0_0_D=0x0;INF03@E=0,S=40,G=0,T=0_0,P=-1@E=1,S=5@E=0,S=36,G=0,T=0_0,P=-1@@R=A,S=13,V={0}:R=B,S=14,V={1}:R=D,S=1,V={2}:",$D$6,$F$6,$L$6)</f>
        <v/>
      </c>
      <c r="N66" s="6"/>
    </row>
    <row r="67" spans="2:14" x14ac:dyDescent="0.25">
      <c r="B67" s="5"/>
      <c r="I67" t="str">
        <f>_xll.Assistant.XL.RIK_AG("INF54_0_0_0_0_0_0_D=0x0;INF03@E=0,S=47,G=0,T=0_0,P=-1@E=1,S=5@E=0,S=36,G=0,T=0_0,P=-1@@R=A,S=13,V={0}:R=B,S=14,V={1}:R=C,S=1,V={2}:",$D$6,$F$6,$L$6)</f>
        <v/>
      </c>
      <c r="N67" s="6"/>
    </row>
    <row r="68" spans="2:14" x14ac:dyDescent="0.25">
      <c r="B68" s="5"/>
      <c r="N68" s="6"/>
    </row>
    <row r="69" spans="2:14" x14ac:dyDescent="0.25">
      <c r="B69" s="5"/>
      <c r="N69" s="6"/>
    </row>
    <row r="70" spans="2:14" x14ac:dyDescent="0.25">
      <c r="B70" s="5"/>
      <c r="N70" s="6"/>
    </row>
    <row r="71" spans="2:14" x14ac:dyDescent="0.25">
      <c r="B71" s="5"/>
      <c r="N71" s="6"/>
    </row>
    <row r="72" spans="2:14" x14ac:dyDescent="0.25">
      <c r="B72" s="5"/>
      <c r="N72" s="6"/>
    </row>
    <row r="73" spans="2:14" x14ac:dyDescent="0.25">
      <c r="B73" s="5"/>
      <c r="N73" s="6"/>
    </row>
    <row r="74" spans="2:14" x14ac:dyDescent="0.25">
      <c r="B74" s="5"/>
      <c r="N74" s="6"/>
    </row>
    <row r="75" spans="2:14" x14ac:dyDescent="0.25">
      <c r="B75" s="5"/>
      <c r="N75" s="6"/>
    </row>
    <row r="76" spans="2:14" x14ac:dyDescent="0.25">
      <c r="B76" s="5"/>
      <c r="N76" s="6"/>
    </row>
    <row r="77" spans="2:14" x14ac:dyDescent="0.25">
      <c r="B77" s="5"/>
      <c r="N77" s="6"/>
    </row>
    <row r="78" spans="2:14" x14ac:dyDescent="0.25">
      <c r="B78" s="5"/>
      <c r="N78" s="6"/>
    </row>
    <row r="79" spans="2:14" x14ac:dyDescent="0.25">
      <c r="B79" s="5"/>
      <c r="N79" s="6"/>
    </row>
    <row r="80" spans="2:14" x14ac:dyDescent="0.25">
      <c r="B80" s="5"/>
      <c r="N80" s="6"/>
    </row>
    <row r="81" spans="2:14" x14ac:dyDescent="0.25">
      <c r="B81" s="5"/>
      <c r="N81" s="6"/>
    </row>
    <row r="82" spans="2:14" x14ac:dyDescent="0.25">
      <c r="B82" s="5"/>
      <c r="N82" s="6"/>
    </row>
    <row r="83" spans="2:14" x14ac:dyDescent="0.25">
      <c r="B83" s="5"/>
      <c r="N83" s="6"/>
    </row>
    <row r="84" spans="2:14" x14ac:dyDescent="0.25">
      <c r="B84" s="5"/>
      <c r="N84" s="6"/>
    </row>
    <row r="85" spans="2:14" x14ac:dyDescent="0.25">
      <c r="B85" s="5"/>
      <c r="N85" s="6"/>
    </row>
    <row r="86" spans="2:14" x14ac:dyDescent="0.25">
      <c r="B86" s="5"/>
      <c r="N86" s="6"/>
    </row>
    <row r="87" spans="2:14" x14ac:dyDescent="0.25">
      <c r="B87" s="5"/>
      <c r="N87" s="6"/>
    </row>
    <row r="88" spans="2:14" x14ac:dyDescent="0.25">
      <c r="B88" s="5"/>
      <c r="N88" s="6"/>
    </row>
    <row r="89" spans="2:14" x14ac:dyDescent="0.25">
      <c r="B89" s="5"/>
      <c r="N89" s="6"/>
    </row>
    <row r="90" spans="2:14" ht="34.5" customHeight="1" x14ac:dyDescent="0.25">
      <c r="B90" s="69" t="s">
        <v>17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</row>
    <row r="91" spans="2:14" x14ac:dyDescent="0.25">
      <c r="B91" s="5"/>
      <c r="N91" s="6"/>
    </row>
    <row r="92" spans="2:14" x14ac:dyDescent="0.25">
      <c r="B92" s="5"/>
      <c r="N92" s="6"/>
    </row>
    <row r="93" spans="2:14" x14ac:dyDescent="0.25">
      <c r="B93" s="5"/>
      <c r="N93" s="6"/>
    </row>
    <row r="94" spans="2:14" x14ac:dyDescent="0.25">
      <c r="B94" s="5"/>
      <c r="N94" s="6"/>
    </row>
    <row r="95" spans="2:14" x14ac:dyDescent="0.25">
      <c r="B95" s="5"/>
      <c r="D95" t="str">
        <f>_xll.Assistant.XL.RIK_AG("INF54_0_0_0_0_0_0_D=0x0;INF03@E=0,S=23,G=0,T=0_0,P=-1@E=1,S=5@@@R=A,S=1,V={0}:R=B,S=36,V=FEMME:R=A,S=13,V={1}:R=B,S=14,V={2}:",$L$6,$D$6,$F$6)</f>
        <v/>
      </c>
      <c r="I95" t="str">
        <f>_xll.Assistant.XL.RIK_AG("INF54_0_0_0_0_0_0_D=0x0;INF03@E=0,S=23,G=0,T=0_0,P=-1@E=1,S=5@@@R=A,S=1,V={0}:R=B,S=36,V=HOMME:R=A,S=13,V={1}:R=B,S=14,V={2}:",$L$6,$D$6,$F$6)</f>
        <v/>
      </c>
      <c r="N95" s="6"/>
    </row>
    <row r="96" spans="2:14" x14ac:dyDescent="0.25">
      <c r="B96" s="5"/>
      <c r="N96" s="6"/>
    </row>
    <row r="97" spans="2:14" x14ac:dyDescent="0.25">
      <c r="B97" s="5"/>
      <c r="N97" s="6"/>
    </row>
    <row r="98" spans="2:14" x14ac:dyDescent="0.25">
      <c r="B98" s="5"/>
      <c r="N98" s="6"/>
    </row>
    <row r="99" spans="2:14" x14ac:dyDescent="0.25">
      <c r="B99" s="5"/>
      <c r="N99" s="6"/>
    </row>
    <row r="100" spans="2:14" x14ac:dyDescent="0.25">
      <c r="B100" s="5"/>
      <c r="N100" s="6"/>
    </row>
    <row r="101" spans="2:14" x14ac:dyDescent="0.25">
      <c r="B101" s="5"/>
      <c r="N101" s="6"/>
    </row>
    <row r="102" spans="2:14" x14ac:dyDescent="0.25">
      <c r="B102" s="5"/>
      <c r="N102" s="6"/>
    </row>
    <row r="103" spans="2:14" x14ac:dyDescent="0.25">
      <c r="B103" s="5"/>
      <c r="N103" s="6"/>
    </row>
    <row r="104" spans="2:14" x14ac:dyDescent="0.25">
      <c r="B104" s="5"/>
      <c r="N104" s="6"/>
    </row>
    <row r="105" spans="2:14" x14ac:dyDescent="0.25">
      <c r="B105" s="5"/>
      <c r="N105" s="6"/>
    </row>
    <row r="106" spans="2:14" x14ac:dyDescent="0.25">
      <c r="B106" s="5"/>
      <c r="N106" s="6"/>
    </row>
    <row r="107" spans="2:14" x14ac:dyDescent="0.25">
      <c r="B107" s="5"/>
      <c r="N107" s="6"/>
    </row>
    <row r="108" spans="2:14" x14ac:dyDescent="0.25">
      <c r="B108" s="5"/>
      <c r="N108" s="6"/>
    </row>
    <row r="109" spans="2:14" x14ac:dyDescent="0.25">
      <c r="B109" s="5"/>
      <c r="N109" s="6"/>
    </row>
    <row r="110" spans="2:14" x14ac:dyDescent="0.25">
      <c r="B110" s="5"/>
      <c r="N110" s="6"/>
    </row>
    <row r="111" spans="2:14" x14ac:dyDescent="0.25">
      <c r="B111" s="5"/>
      <c r="N111" s="6"/>
    </row>
    <row r="112" spans="2:14" x14ac:dyDescent="0.25">
      <c r="B112" s="5"/>
      <c r="N112" s="6"/>
    </row>
    <row r="113" spans="2:14" x14ac:dyDescent="0.25">
      <c r="B113" s="5"/>
      <c r="N113" s="6"/>
    </row>
    <row r="114" spans="2:14" x14ac:dyDescent="0.25">
      <c r="B114" s="5"/>
      <c r="N114" s="6"/>
    </row>
    <row r="115" spans="2:14" ht="34.5" customHeight="1" x14ac:dyDescent="0.25">
      <c r="B115" s="69" t="s">
        <v>18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1"/>
    </row>
    <row r="116" spans="2:14" x14ac:dyDescent="0.25">
      <c r="B116" s="5"/>
      <c r="N116" s="6"/>
    </row>
    <row r="117" spans="2:14" x14ac:dyDescent="0.25">
      <c r="B117" s="5"/>
      <c r="N117" s="6"/>
    </row>
    <row r="118" spans="2:14" x14ac:dyDescent="0.25">
      <c r="B118" s="5"/>
      <c r="N118" s="6"/>
    </row>
    <row r="119" spans="2:14" x14ac:dyDescent="0.25">
      <c r="B119" s="5"/>
      <c r="N119" s="6"/>
    </row>
    <row r="120" spans="2:14" x14ac:dyDescent="0.25">
      <c r="B120" s="5"/>
      <c r="D120" t="str">
        <f>_xll.Assistant.XL.RIK_AG("INF54_0_0_0_0_0_0_D=0x0;INF03@E=0,S=27,G=0,T=0_0,P=-1@E=1,S=5@@@R=A,S=1,V={0}:R=B,S=36,V=FEMME:R=A,S=13,V={1}:R=B,S=14,V={2}:",$L$6,$D$6,$F$6)</f>
        <v/>
      </c>
      <c r="I120" t="str">
        <f>_xll.Assistant.XL.RIK_AG("INF54_0_0_0_0_0_0_D=0x0;INF03@E=0,S=27,G=0,T=0_0,P=-1@E=1,S=5@@@R=A,S=1,V={0}:R=B,S=36,V=HOMME:R=A,S=13,V={1}:R=B,S=14,V={2}:",$L$6,$D$6,$F$6)</f>
        <v/>
      </c>
      <c r="N120" s="6"/>
    </row>
    <row r="121" spans="2:14" x14ac:dyDescent="0.25">
      <c r="B121" s="5"/>
      <c r="N121" s="6"/>
    </row>
    <row r="122" spans="2:14" x14ac:dyDescent="0.25">
      <c r="B122" s="5"/>
      <c r="N122" s="6"/>
    </row>
    <row r="123" spans="2:14" x14ac:dyDescent="0.25">
      <c r="B123" s="5"/>
      <c r="N123" s="6"/>
    </row>
    <row r="124" spans="2:14" x14ac:dyDescent="0.25">
      <c r="B124" s="5"/>
      <c r="N124" s="6"/>
    </row>
    <row r="125" spans="2:14" x14ac:dyDescent="0.25">
      <c r="B125" s="5"/>
      <c r="N125" s="6"/>
    </row>
    <row r="126" spans="2:14" x14ac:dyDescent="0.25">
      <c r="B126" s="5"/>
      <c r="N126" s="6"/>
    </row>
    <row r="127" spans="2:14" x14ac:dyDescent="0.25">
      <c r="B127" s="5"/>
      <c r="N127" s="6"/>
    </row>
    <row r="128" spans="2:14" x14ac:dyDescent="0.25">
      <c r="B128" s="5"/>
      <c r="N128" s="6"/>
    </row>
    <row r="129" spans="2:14" x14ac:dyDescent="0.25">
      <c r="B129" s="5"/>
      <c r="N129" s="6"/>
    </row>
    <row r="130" spans="2:14" x14ac:dyDescent="0.25">
      <c r="B130" s="5"/>
      <c r="N130" s="6"/>
    </row>
    <row r="131" spans="2:14" x14ac:dyDescent="0.25">
      <c r="B131" s="5"/>
      <c r="N131" s="6"/>
    </row>
    <row r="132" spans="2:14" x14ac:dyDescent="0.25">
      <c r="B132" s="5"/>
      <c r="N132" s="6"/>
    </row>
    <row r="133" spans="2:14" x14ac:dyDescent="0.25">
      <c r="B133" s="5"/>
      <c r="N133" s="6"/>
    </row>
    <row r="134" spans="2:14" x14ac:dyDescent="0.25">
      <c r="B134" s="5"/>
      <c r="N134" s="6"/>
    </row>
    <row r="135" spans="2:14" x14ac:dyDescent="0.25">
      <c r="B135" s="5"/>
      <c r="N135" s="6"/>
    </row>
    <row r="136" spans="2:14" x14ac:dyDescent="0.25">
      <c r="B136" s="5"/>
      <c r="N136" s="6"/>
    </row>
    <row r="137" spans="2:14" x14ac:dyDescent="0.25">
      <c r="B137" s="5"/>
      <c r="N137" s="6"/>
    </row>
    <row r="138" spans="2:14" x14ac:dyDescent="0.25">
      <c r="B138" s="5"/>
      <c r="N138" s="6"/>
    </row>
    <row r="139" spans="2:14" x14ac:dyDescent="0.25">
      <c r="B139" s="5"/>
      <c r="N139" s="6"/>
    </row>
    <row r="140" spans="2:14" x14ac:dyDescent="0.25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2"/>
    </row>
  </sheetData>
  <mergeCells count="17">
    <mergeCell ref="B115:N115"/>
    <mergeCell ref="L13:L15"/>
    <mergeCell ref="I18:L20"/>
    <mergeCell ref="E13:E17"/>
    <mergeCell ref="J13:J17"/>
    <mergeCell ref="B45:N45"/>
    <mergeCell ref="B63:G63"/>
    <mergeCell ref="I63:N63"/>
    <mergeCell ref="B90:N90"/>
    <mergeCell ref="B1:N1"/>
    <mergeCell ref="D13:D15"/>
    <mergeCell ref="F13:F17"/>
    <mergeCell ref="G13:G15"/>
    <mergeCell ref="D18:G20"/>
    <mergeCell ref="I13:I15"/>
    <mergeCell ref="K13:K17"/>
    <mergeCell ref="B10:N1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7D6E-A500-461F-B52D-9D8C6B5135BE}">
  <dimension ref="B1:Z181"/>
  <sheetViews>
    <sheetView showGridLines="0" workbookViewId="0">
      <pane ySplit="1" topLeftCell="A2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6.42578125" customWidth="1"/>
    <col min="3" max="3" width="21.42578125" customWidth="1"/>
    <col min="4" max="4" width="15.85546875" bestFit="1" customWidth="1"/>
    <col min="5" max="5" width="21.140625" customWidth="1"/>
    <col min="6" max="6" width="23.1406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  <col min="22" max="22" width="13.42578125" customWidth="1"/>
    <col min="26" max="26" width="16" customWidth="1"/>
  </cols>
  <sheetData>
    <row r="1" spans="2:26" ht="58.5" customHeight="1" x14ac:dyDescent="0.25">
      <c r="B1" s="47" t="str">
        <f>"ÉVOLUTION DES EFFECTIFS AU "&amp;TEXT(L6,"JJ/MM/AAAA")</f>
        <v>ÉVOLUTION DES EFFECTIFS AU 31/05/2020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6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6" x14ac:dyDescent="0.25">
      <c r="B3" s="5"/>
      <c r="N3" s="6"/>
    </row>
    <row r="4" spans="2:26" x14ac:dyDescent="0.25">
      <c r="B4" s="5"/>
      <c r="N4" s="6"/>
    </row>
    <row r="5" spans="2:26" ht="44.25" customHeight="1" x14ac:dyDescent="0.25">
      <c r="B5" s="5"/>
      <c r="D5" s="23" t="s">
        <v>2</v>
      </c>
      <c r="F5" s="23" t="s">
        <v>4</v>
      </c>
      <c r="L5" s="23" t="s">
        <v>6</v>
      </c>
      <c r="N5" s="6"/>
      <c r="U5" s="26" t="s">
        <v>19</v>
      </c>
      <c r="V5" s="26" t="str">
        <f>YEAR($L$6)*100+1&amp;".."&amp;TEXT(EDATE($L$6,0),"AAAAMM")</f>
        <v>202001..202005</v>
      </c>
      <c r="W5" s="26">
        <f>YEAR(L6)</f>
        <v>2020</v>
      </c>
      <c r="X5" s="26" t="str">
        <f>TEXT(EDATE($L$6,0),"JJ/MM/AAAA")</f>
        <v>31/05/2020</v>
      </c>
      <c r="Y5" s="26" t="str">
        <f>"01/01/"&amp;W5</f>
        <v>01/01/2020</v>
      </c>
    </row>
    <row r="6" spans="2:26" ht="24" customHeight="1" x14ac:dyDescent="0.25">
      <c r="B6" s="5"/>
      <c r="D6" s="13">
        <f>ACCUEIL!N11</f>
        <v>995002433</v>
      </c>
      <c r="F6" s="13" t="str">
        <f>ACCUEIL!N14</f>
        <v>*</v>
      </c>
      <c r="L6" s="14">
        <f>ACCUEIL!$N$17</f>
        <v>43982</v>
      </c>
      <c r="N6" s="6"/>
      <c r="U6" s="26" t="s">
        <v>20</v>
      </c>
      <c r="V6" s="26" t="str">
        <f>W6&amp;"01"&amp;".."&amp;W6&amp;"12"</f>
        <v>201901..201912</v>
      </c>
      <c r="W6" s="26">
        <f>YEAR(L6)-1</f>
        <v>2019</v>
      </c>
      <c r="X6" s="26" t="str">
        <f>TEXT(EDATE($L$6,-12),"JJ/MM/AAAA")</f>
        <v>31/05/2019</v>
      </c>
      <c r="Y6" s="26" t="str">
        <f t="shared" ref="Y6:Y7" si="0">"01/01/"&amp;W6</f>
        <v>01/01/2019</v>
      </c>
      <c r="Z6" s="26" t="str">
        <f>"31/12/"&amp;W6</f>
        <v>31/12/2019</v>
      </c>
    </row>
    <row r="7" spans="2:26" x14ac:dyDescent="0.25">
      <c r="B7" s="5"/>
      <c r="K7" s="7"/>
      <c r="N7" s="6"/>
      <c r="U7" s="26" t="s">
        <v>21</v>
      </c>
      <c r="V7" s="26" t="str">
        <f>W7&amp;"01"&amp;".."&amp;W7&amp;"12"</f>
        <v>201801..201812</v>
      </c>
      <c r="W7" s="26">
        <f>YEAR(L6)-2</f>
        <v>2018</v>
      </c>
      <c r="X7" s="26" t="str">
        <f>TEXT(EDATE($L$6,-24),"JJ/MM/AAAA")</f>
        <v>31/05/2018</v>
      </c>
      <c r="Y7" s="26" t="str">
        <f t="shared" si="0"/>
        <v>01/01/2018</v>
      </c>
      <c r="Z7" s="26" t="str">
        <f>"31/12/"&amp;W7</f>
        <v>31/12/2018</v>
      </c>
    </row>
    <row r="8" spans="2:26" x14ac:dyDescent="0.25">
      <c r="B8" s="5"/>
      <c r="K8" s="7"/>
      <c r="N8" s="6"/>
    </row>
    <row r="9" spans="2:26" x14ac:dyDescent="0.25">
      <c r="B9" s="5"/>
      <c r="K9" s="7"/>
      <c r="N9" s="6"/>
    </row>
    <row r="10" spans="2:26" ht="34.5" customHeight="1" x14ac:dyDescent="0.25">
      <c r="B10" s="69" t="s">
        <v>22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26" x14ac:dyDescent="0.25">
      <c r="B11" s="5"/>
      <c r="N11" s="6"/>
    </row>
    <row r="12" spans="2:26" x14ac:dyDescent="0.25">
      <c r="B12" s="5"/>
      <c r="N12" s="6"/>
    </row>
    <row r="13" spans="2:26" x14ac:dyDescent="0.25">
      <c r="B13" s="5"/>
      <c r="N13" s="6"/>
    </row>
    <row r="14" spans="2:26" x14ac:dyDescent="0.25">
      <c r="B14" s="5"/>
      <c r="N14" s="6"/>
    </row>
    <row r="15" spans="2:26" x14ac:dyDescent="0.25">
      <c r="B15" s="5"/>
      <c r="C15" t="str">
        <f>_xll.Assistant.XL.RIK_AG("INF54_0_0_0_0_0_0_D=0x0;INF03@E=0,S=27,G=0,T=0_0,P=-1@E=1,S=5@@@R=A,S=13,V={0}:R=C,S=14,V={1}:R=A,S=1,V={2}:",$D$6,$F$6,$X$7)</f>
        <v/>
      </c>
      <c r="G15" t="str">
        <f>_xll.Assistant.XL.RIK_AG("INF54_0_0_0_0_0_0_D=0x0;INF03@E=0,S=27,G=0,T=0_0,P=-1@E=1,S=5@@@R=A,S=13,V={0}:R=C,S=14,V={1}:R=A,S=1,V={2}:",$D$6,$F$6,$X$6)</f>
        <v/>
      </c>
      <c r="K15" t="str">
        <f>_xll.Assistant.XL.RIK_AG("INF54_0_0_0_0_0_0_D=0x0;INF03@E=0,S=27,G=0,T=0_0,P=-1@E=1,S=5@@@R=A,S=13,V={0}:R=C,S=14,V={1}:R=A,S=1,V={2}:",$D$6,$F$6,$X$5)</f>
        <v/>
      </c>
      <c r="N15" s="6"/>
    </row>
    <row r="16" spans="2:26" x14ac:dyDescent="0.25">
      <c r="B16" s="5"/>
      <c r="N16" s="6"/>
    </row>
    <row r="17" spans="2:14" x14ac:dyDescent="0.25">
      <c r="B17" s="5"/>
      <c r="N17" s="6"/>
    </row>
    <row r="18" spans="2:14" x14ac:dyDescent="0.25">
      <c r="B18" s="5"/>
      <c r="N18" s="6"/>
    </row>
    <row r="19" spans="2:14" x14ac:dyDescent="0.25">
      <c r="B19" s="5"/>
      <c r="N19" s="6"/>
    </row>
    <row r="20" spans="2:14" x14ac:dyDescent="0.25">
      <c r="B20" s="5"/>
      <c r="N20" s="6"/>
    </row>
    <row r="21" spans="2:14" x14ac:dyDescent="0.25">
      <c r="B21" s="5"/>
      <c r="N21" s="6"/>
    </row>
    <row r="22" spans="2:14" x14ac:dyDescent="0.25">
      <c r="B22" s="5"/>
      <c r="N22" s="6"/>
    </row>
    <row r="23" spans="2:14" x14ac:dyDescent="0.25">
      <c r="B23" s="5"/>
      <c r="N23" s="6"/>
    </row>
    <row r="24" spans="2:14" x14ac:dyDescent="0.25">
      <c r="B24" s="5"/>
      <c r="N24" s="6"/>
    </row>
    <row r="25" spans="2:14" x14ac:dyDescent="0.25">
      <c r="B25" s="5"/>
      <c r="N25" s="6"/>
    </row>
    <row r="26" spans="2:14" x14ac:dyDescent="0.25">
      <c r="B26" s="5"/>
      <c r="N26" s="6"/>
    </row>
    <row r="27" spans="2:14" x14ac:dyDescent="0.25">
      <c r="B27" s="5"/>
      <c r="N27" s="6"/>
    </row>
    <row r="28" spans="2:14" x14ac:dyDescent="0.25">
      <c r="B28" s="5"/>
      <c r="N28" s="6"/>
    </row>
    <row r="29" spans="2:14" x14ac:dyDescent="0.25">
      <c r="B29" s="5"/>
      <c r="N29" s="6"/>
    </row>
    <row r="30" spans="2:14" x14ac:dyDescent="0.25">
      <c r="B30" s="5"/>
      <c r="N30" s="6"/>
    </row>
    <row r="31" spans="2:14" x14ac:dyDescent="0.25">
      <c r="B31" s="5"/>
      <c r="N31" s="6"/>
    </row>
    <row r="32" spans="2:14" x14ac:dyDescent="0.25">
      <c r="B32" s="5"/>
      <c r="N32" s="6"/>
    </row>
    <row r="33" spans="2:14" ht="11.25" customHeight="1" x14ac:dyDescent="0.25">
      <c r="B33" s="5"/>
      <c r="N33" s="6"/>
    </row>
    <row r="34" spans="2:14" ht="12" customHeight="1" x14ac:dyDescent="0.25">
      <c r="B34" s="5"/>
      <c r="L34" s="89"/>
      <c r="M34" s="89"/>
      <c r="N34" s="6"/>
    </row>
    <row r="35" spans="2:14" ht="27" customHeight="1" x14ac:dyDescent="0.25">
      <c r="B35" s="5"/>
      <c r="C35" s="90" t="str">
        <f>"N-2 - Au "&amp;$Z$7</f>
        <v>N-2 - Au 31/12/2018</v>
      </c>
      <c r="D35" s="90"/>
      <c r="E35" s="90"/>
      <c r="G35" s="90" t="str">
        <f>"N-1 - Au "&amp;$Z$6</f>
        <v>N-1 - Au 31/12/2019</v>
      </c>
      <c r="H35" s="90"/>
      <c r="I35" s="90"/>
      <c r="K35" s="90" t="str">
        <f>"ANNÉE EN COURS - Au "&amp;$X$5</f>
        <v>ANNÉE EN COURS - Au 31/05/2020</v>
      </c>
      <c r="L35" s="90"/>
      <c r="M35" s="90"/>
      <c r="N35" s="6"/>
    </row>
    <row r="36" spans="2:14" ht="21.75" customHeight="1" x14ac:dyDescent="0.25">
      <c r="B36" s="5"/>
      <c r="C36" s="91">
        <f>_xll.Assistant.XL.RIK_AC("INF54__;INF03@E=1,S=5,G=0,T=0,P=0:@R=A,S=13,V={0}:R=B,S=1,V={1}:R=C,S=14,V={2}:",$D$6,$Z$7,$F$6)</f>
        <v>0</v>
      </c>
      <c r="D36" s="92"/>
      <c r="E36" s="93"/>
      <c r="G36" s="91">
        <f>_xll.Assistant.XL.RIK_AC("INF54__;INF03@E=1,S=5,G=0,T=0,P=0:@R=A,S=13,V={0}:R=B,S=1,V={1}:R=C,S=14,V={2}:",$D$6,$Z$6,$F$6)</f>
        <v>36</v>
      </c>
      <c r="H36" s="92"/>
      <c r="I36" s="93"/>
      <c r="K36" s="91">
        <f>_xll.Assistant.XL.RIK_AC("INF54__;INF03@E=1,S=5,G=0,T=0,P=0:@R=A,S=13,V={0}:R=B,S=1,V={1}:R=C,S=14,V={2}:",$D$6,$X$5,$F$6)</f>
        <v>39</v>
      </c>
      <c r="L36" s="92"/>
      <c r="M36" s="93"/>
      <c r="N36" s="6"/>
    </row>
    <row r="37" spans="2:14" x14ac:dyDescent="0.25">
      <c r="B37" s="5"/>
      <c r="D37" s="32">
        <f>_xll.Assistant.XL.RIK_AC("INF54__;INF03@E=1,S=5,G=0,T=0,P=0:@R=A,S=13,V={0}:R=B,S=1,V={1}:R=C,S=14,V={2}:",$D$6,$Z$7,$F$6)</f>
        <v>0</v>
      </c>
      <c r="H37" s="32">
        <f>_xll.Assistant.XL.RIK_AC("INF54__;INF03@E=1,S=5,G=0,T=0,P=0:@R=A,S=13,V={0}:R=B,S=1,V={1}:R=C,S=14,V={2}:",$D$6,$Z$6,$F$6)</f>
        <v>36</v>
      </c>
      <c r="L37" s="32">
        <f>_xll.Assistant.XL.RIK_AC("INF54__;INF03@E=1,S=5,G=0,T=0,P=0:@R=A,S=13,V={0}:R=B,S=1,V={1}:R=C,S=14,V={2}:",$D$6,$X$5,$F$6)</f>
        <v>39</v>
      </c>
      <c r="N37" s="6"/>
    </row>
    <row r="38" spans="2:14" x14ac:dyDescent="0.25">
      <c r="B38" s="5"/>
      <c r="N38" s="6"/>
    </row>
    <row r="39" spans="2:14" ht="34.5" customHeight="1" x14ac:dyDescent="0.25">
      <c r="B39" s="69" t="s">
        <v>23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</row>
    <row r="40" spans="2:14" x14ac:dyDescent="0.25">
      <c r="B40" s="5"/>
      <c r="N40" s="6"/>
    </row>
    <row r="41" spans="2:14" x14ac:dyDescent="0.25">
      <c r="B41" s="5"/>
      <c r="N41" s="6"/>
    </row>
    <row r="42" spans="2:14" x14ac:dyDescent="0.25">
      <c r="B42" s="5"/>
      <c r="N42" s="6"/>
    </row>
    <row r="43" spans="2:14" x14ac:dyDescent="0.25">
      <c r="B43" s="5"/>
      <c r="N43" s="6"/>
    </row>
    <row r="44" spans="2:14" x14ac:dyDescent="0.25">
      <c r="B44" s="5"/>
      <c r="C44" t="str">
        <f>_xll.Assistant.XL.RIK_AG("INF54_0_0_0_0_0_0_D=0x0;INF03@E=0,S=40,G=0,T=0_0,P=-1@E=1,S=5@@@R=A,S=13,V={0}:R=B,S=14,V={1}:R=C,S=1,V={2}:",$D$6,$F$6,$Z$7)</f>
        <v/>
      </c>
      <c r="K44" t="str">
        <f>_xll.Assistant.XL.RIK_AG("INF54_0_0_0_0_0_0_D=0x0;INF03@E=0,S=40,G=0,T=0_0,P=-1@E=1,S=5@@@R=A,S=13,V={0}:R=B,S=14,V={1}:R=C,S=1,V={2}:",$D$6,$F$6,$X$5)</f>
        <v/>
      </c>
      <c r="N44" s="6"/>
    </row>
    <row r="45" spans="2:14" x14ac:dyDescent="0.25">
      <c r="B45" s="5"/>
      <c r="G45" t="str">
        <f>_xll.Assistant.XL.RIK_AG("INF54_0_0_0_0_0_0_D=0x0;INF03@E=0,S=40,G=0,T=0_0,P=-1@E=1,S=5@@@R=A,S=13,V={0}:R=B,S=14,V={1}:R=C,S=1,V={2}:",$D$6,$F$6,$Z$6)</f>
        <v/>
      </c>
      <c r="N45" s="6"/>
    </row>
    <row r="46" spans="2:14" x14ac:dyDescent="0.25">
      <c r="B46" s="5"/>
      <c r="N46" s="6"/>
    </row>
    <row r="47" spans="2:14" x14ac:dyDescent="0.25">
      <c r="B47" s="5"/>
      <c r="N47" s="6"/>
    </row>
    <row r="48" spans="2:14" x14ac:dyDescent="0.25">
      <c r="B48" s="5"/>
      <c r="N48" s="6"/>
    </row>
    <row r="49" spans="2:14" x14ac:dyDescent="0.25">
      <c r="B49" s="5"/>
      <c r="N49" s="6"/>
    </row>
    <row r="50" spans="2:14" x14ac:dyDescent="0.25">
      <c r="B50" s="5"/>
      <c r="N50" s="6"/>
    </row>
    <row r="51" spans="2:14" x14ac:dyDescent="0.25">
      <c r="B51" s="5"/>
      <c r="N51" s="6"/>
    </row>
    <row r="52" spans="2:14" x14ac:dyDescent="0.25">
      <c r="B52" s="5"/>
      <c r="N52" s="6"/>
    </row>
    <row r="53" spans="2:14" x14ac:dyDescent="0.25">
      <c r="B53" s="5"/>
      <c r="N53" s="6"/>
    </row>
    <row r="54" spans="2:14" ht="30" customHeight="1" x14ac:dyDescent="0.25">
      <c r="B54" s="5"/>
      <c r="N54" s="6"/>
    </row>
    <row r="55" spans="2:14" x14ac:dyDescent="0.25">
      <c r="B55" s="5"/>
      <c r="N55" s="6"/>
    </row>
    <row r="56" spans="2:14" x14ac:dyDescent="0.25">
      <c r="B56" s="5"/>
      <c r="N56" s="6"/>
    </row>
    <row r="57" spans="2:14" x14ac:dyDescent="0.25">
      <c r="B57" s="5"/>
      <c r="N57" s="6"/>
    </row>
    <row r="58" spans="2:14" x14ac:dyDescent="0.25">
      <c r="B58" s="5"/>
      <c r="N58" s="6"/>
    </row>
    <row r="59" spans="2:14" x14ac:dyDescent="0.25">
      <c r="B59" s="5"/>
      <c r="N59" s="6"/>
    </row>
    <row r="60" spans="2:14" x14ac:dyDescent="0.25">
      <c r="B60" s="5"/>
      <c r="N60" s="6"/>
    </row>
    <row r="61" spans="2:14" x14ac:dyDescent="0.25">
      <c r="B61" s="5"/>
      <c r="N61" s="6"/>
    </row>
    <row r="62" spans="2:14" x14ac:dyDescent="0.25">
      <c r="B62" s="5"/>
      <c r="N62" s="6"/>
    </row>
    <row r="63" spans="2:14" x14ac:dyDescent="0.25">
      <c r="B63" s="5"/>
      <c r="L63" s="89"/>
      <c r="M63" s="89"/>
      <c r="N63" s="6"/>
    </row>
    <row r="64" spans="2:14" ht="27" customHeight="1" x14ac:dyDescent="0.25">
      <c r="B64" s="5"/>
      <c r="C64" s="90" t="str">
        <f>"N-2 - Au "&amp;$Z$7</f>
        <v>N-2 - Au 31/12/2018</v>
      </c>
      <c r="D64" s="90"/>
      <c r="E64" s="90"/>
      <c r="G64" s="90" t="str">
        <f>"N-1 - Au "&amp;$Z$6</f>
        <v>N-1 - Au 31/12/2019</v>
      </c>
      <c r="H64" s="90"/>
      <c r="I64" s="90"/>
      <c r="K64" s="90" t="str">
        <f>"ANNÉE EN COURS - Au "&amp;$X$5</f>
        <v>ANNÉE EN COURS - Au 31/05/2020</v>
      </c>
      <c r="L64" s="90"/>
      <c r="M64" s="90"/>
      <c r="N64" s="6"/>
    </row>
    <row r="65" spans="2:14" x14ac:dyDescent="0.25">
      <c r="N65" s="6"/>
    </row>
    <row r="66" spans="2:14" x14ac:dyDescent="0.25">
      <c r="B66" s="5"/>
      <c r="N66" s="6"/>
    </row>
    <row r="67" spans="2:14" ht="34.5" customHeight="1" x14ac:dyDescent="0.25">
      <c r="B67" s="69" t="s">
        <v>24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1"/>
    </row>
    <row r="68" spans="2:14" x14ac:dyDescent="0.25">
      <c r="B68" s="5"/>
      <c r="N68" s="6"/>
    </row>
    <row r="69" spans="2:14" x14ac:dyDescent="0.25">
      <c r="B69" s="5"/>
      <c r="N69" s="6"/>
    </row>
    <row r="70" spans="2:14" x14ac:dyDescent="0.25">
      <c r="B70" s="5"/>
      <c r="N70" s="6"/>
    </row>
    <row r="71" spans="2:14" x14ac:dyDescent="0.25">
      <c r="B71" s="5"/>
      <c r="N71" s="6"/>
    </row>
    <row r="72" spans="2:14" x14ac:dyDescent="0.25">
      <c r="B72" s="5"/>
      <c r="C72" t="str">
        <f>_xll.Assistant.XL.RIK_AG("INF54_0_0_0_0_0_0_D=0x0;INF03@E=0,S=23,G=0,T=0_0,P=-1@E=1,S=5@@@R=A,S=13,V={0}:R=B,S=14,V={1}:R=C,S=1,V={2}:",$D$6,$F$6,$Z$7)</f>
        <v/>
      </c>
      <c r="G72" t="str">
        <f>_xll.Assistant.XL.RIK_AG("INF54_0_0_0_0_0_0_D=0x0;INF03@E=0,S=23,G=0,T=0_0,P=-1@E=1,S=5@@@R=A,S=13,V={0}:R=B,S=14,V={1}:R=C,S=1,V={2}:",$D$6,$F$6,$Z$6)</f>
        <v/>
      </c>
      <c r="K72" t="str">
        <f>_xll.Assistant.XL.RIK_AG("INF54_0_0_0_0_0_0_D=0x0;INF03@E=0,S=23,G=0,T=0_0,P=-1@E=1,S=5@@@R=A,S=13,V={0}:R=B,S=14,V={1}:R=C,S=1,V={2}:",$D$6,$F$6,$X$5)</f>
        <v/>
      </c>
      <c r="N72" s="6"/>
    </row>
    <row r="73" spans="2:14" x14ac:dyDescent="0.25">
      <c r="B73" s="5"/>
      <c r="N73" s="6"/>
    </row>
    <row r="74" spans="2:14" x14ac:dyDescent="0.25">
      <c r="B74" s="5"/>
      <c r="N74" s="6"/>
    </row>
    <row r="75" spans="2:14" x14ac:dyDescent="0.25">
      <c r="B75" s="5"/>
      <c r="N75" s="6"/>
    </row>
    <row r="76" spans="2:14" x14ac:dyDescent="0.25">
      <c r="B76" s="5"/>
      <c r="N76" s="6"/>
    </row>
    <row r="77" spans="2:14" x14ac:dyDescent="0.25">
      <c r="B77" s="5"/>
      <c r="N77" s="6"/>
    </row>
    <row r="78" spans="2:14" x14ac:dyDescent="0.25">
      <c r="B78" s="5"/>
      <c r="N78" s="6"/>
    </row>
    <row r="79" spans="2:14" x14ac:dyDescent="0.25">
      <c r="B79" s="5"/>
      <c r="N79" s="6"/>
    </row>
    <row r="80" spans="2:14" x14ac:dyDescent="0.25">
      <c r="B80" s="5"/>
      <c r="N80" s="6"/>
    </row>
    <row r="81" spans="2:14" x14ac:dyDescent="0.25">
      <c r="B81" s="5"/>
      <c r="N81" s="6"/>
    </row>
    <row r="82" spans="2:14" x14ac:dyDescent="0.25">
      <c r="B82" s="5"/>
      <c r="N82" s="6"/>
    </row>
    <row r="83" spans="2:14" x14ac:dyDescent="0.25">
      <c r="B83" s="5"/>
      <c r="N83" s="6"/>
    </row>
    <row r="84" spans="2:14" x14ac:dyDescent="0.25">
      <c r="B84" s="5"/>
      <c r="N84" s="6"/>
    </row>
    <row r="85" spans="2:14" x14ac:dyDescent="0.25">
      <c r="B85" s="5"/>
      <c r="N85" s="6"/>
    </row>
    <row r="86" spans="2:14" x14ac:dyDescent="0.25">
      <c r="B86" s="5"/>
      <c r="N86" s="6"/>
    </row>
    <row r="87" spans="2:14" x14ac:dyDescent="0.25">
      <c r="B87" s="5"/>
      <c r="N87" s="6"/>
    </row>
    <row r="88" spans="2:14" x14ac:dyDescent="0.25">
      <c r="B88" s="5"/>
      <c r="N88" s="6"/>
    </row>
    <row r="89" spans="2:14" x14ac:dyDescent="0.25">
      <c r="B89" s="5"/>
      <c r="N89" s="6"/>
    </row>
    <row r="90" spans="2:14" x14ac:dyDescent="0.25">
      <c r="B90" s="5"/>
      <c r="N90" s="6"/>
    </row>
    <row r="91" spans="2:14" x14ac:dyDescent="0.25">
      <c r="B91" s="5"/>
      <c r="L91" s="89"/>
      <c r="M91" s="89"/>
      <c r="N91" s="6"/>
    </row>
    <row r="92" spans="2:14" ht="27" customHeight="1" x14ac:dyDescent="0.25">
      <c r="B92" s="5"/>
      <c r="C92" s="90" t="str">
        <f>"N-2 - Au "&amp;$Z$7</f>
        <v>N-2 - Au 31/12/2018</v>
      </c>
      <c r="D92" s="90"/>
      <c r="E92" s="90"/>
      <c r="G92" s="90" t="str">
        <f>"N-1 - Au "&amp;$Z$6</f>
        <v>N-1 - Au 31/12/2019</v>
      </c>
      <c r="H92" s="90"/>
      <c r="I92" s="90"/>
      <c r="K92" s="90" t="str">
        <f>"ANNÉE EN COURS - Au "&amp;$X$5</f>
        <v>ANNÉE EN COURS - Au 31/05/2020</v>
      </c>
      <c r="L92" s="90"/>
      <c r="M92" s="90"/>
      <c r="N92" s="6"/>
    </row>
    <row r="93" spans="2:14" x14ac:dyDescent="0.25">
      <c r="B93" s="5"/>
      <c r="N93" s="6"/>
    </row>
    <row r="94" spans="2:14" x14ac:dyDescent="0.25">
      <c r="B94" s="5"/>
      <c r="N94" s="6"/>
    </row>
    <row r="95" spans="2:14" ht="34.5" customHeight="1" x14ac:dyDescent="0.25">
      <c r="B95" s="69" t="s">
        <v>25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1"/>
    </row>
    <row r="96" spans="2:14" x14ac:dyDescent="0.25">
      <c r="B96" s="5"/>
      <c r="N96" s="6"/>
    </row>
    <row r="97" spans="2:14" x14ac:dyDescent="0.25">
      <c r="B97" s="5"/>
      <c r="N97" s="6"/>
    </row>
    <row r="98" spans="2:14" x14ac:dyDescent="0.25">
      <c r="B98" s="5"/>
      <c r="N98" s="6"/>
    </row>
    <row r="99" spans="2:14" x14ac:dyDescent="0.25">
      <c r="B99" s="5"/>
      <c r="N99" s="6"/>
    </row>
    <row r="100" spans="2:14" x14ac:dyDescent="0.25">
      <c r="B100" s="5"/>
      <c r="C100" t="str">
        <f>_xll.Assistant.XL.RIK_AG("INF54_0_0_0_0_0_0_D=0x0;INF03@E=0,S=4,G=0,T=0_0,P=-1@E=1,S=7@@@R=A,S=13,V={0}:R=B,S=14,V={1}:R=A,S=4,V={2}:",$D$6,$F$6,$V$7)</f>
        <v/>
      </c>
      <c r="G100" t="str">
        <f>_xll.Assistant.XL.RIK_AG("INF54_0_0_0_0_0_0_D=0x0;INF03@E=0,S=4,G=0,T=0_0,P=-1@E=1,S=7@@@R=A,S=13,V={0}:R=B,S=14,V={1}:R=C,S=4,V={2}:",$D$6,$F$6,$V$6)</f>
        <v/>
      </c>
      <c r="K100" t="str">
        <f>_xll.Assistant.XL.RIK_AG("INF54_0_0_0_0_0_0_D=0x0;INF03@E=0,S=4,G=0,T=0_0,P=-1@E=1,S=7@@@R=A,S=13,V={0}:R=B,S=14,V={1}:R=C,S=4,V={2}:",$D$6,$F$6,$V$5)</f>
        <v/>
      </c>
      <c r="N100" s="6"/>
    </row>
    <row r="101" spans="2:14" x14ac:dyDescent="0.25">
      <c r="B101" s="5"/>
      <c r="N101" s="6"/>
    </row>
    <row r="102" spans="2:14" x14ac:dyDescent="0.25">
      <c r="B102" s="5"/>
      <c r="N102" s="6"/>
    </row>
    <row r="103" spans="2:14" x14ac:dyDescent="0.25">
      <c r="B103" s="5"/>
      <c r="N103" s="6"/>
    </row>
    <row r="104" spans="2:14" x14ac:dyDescent="0.25">
      <c r="B104" s="5"/>
      <c r="N104" s="6"/>
    </row>
    <row r="105" spans="2:14" x14ac:dyDescent="0.25">
      <c r="B105" s="5"/>
      <c r="N105" s="6"/>
    </row>
    <row r="106" spans="2:14" x14ac:dyDescent="0.25">
      <c r="B106" s="5"/>
      <c r="N106" s="6"/>
    </row>
    <row r="107" spans="2:14" x14ac:dyDescent="0.25">
      <c r="B107" s="5"/>
      <c r="N107" s="6"/>
    </row>
    <row r="108" spans="2:14" x14ac:dyDescent="0.25">
      <c r="B108" s="5"/>
      <c r="N108" s="6"/>
    </row>
    <row r="109" spans="2:14" x14ac:dyDescent="0.25">
      <c r="B109" s="5"/>
      <c r="N109" s="6"/>
    </row>
    <row r="110" spans="2:14" x14ac:dyDescent="0.25">
      <c r="B110" s="5"/>
      <c r="N110" s="6"/>
    </row>
    <row r="111" spans="2:14" x14ac:dyDescent="0.25">
      <c r="B111" s="5"/>
      <c r="N111" s="6"/>
    </row>
    <row r="112" spans="2:14" x14ac:dyDescent="0.25">
      <c r="B112" s="5"/>
      <c r="N112" s="6"/>
    </row>
    <row r="113" spans="2:14" x14ac:dyDescent="0.25">
      <c r="B113" s="5"/>
      <c r="N113" s="6"/>
    </row>
    <row r="114" spans="2:14" x14ac:dyDescent="0.25">
      <c r="B114" s="5"/>
      <c r="N114" s="6"/>
    </row>
    <row r="115" spans="2:14" x14ac:dyDescent="0.25">
      <c r="B115" s="5"/>
      <c r="N115" s="6"/>
    </row>
    <row r="116" spans="2:14" x14ac:dyDescent="0.25">
      <c r="B116" s="5"/>
      <c r="N116" s="6"/>
    </row>
    <row r="117" spans="2:14" x14ac:dyDescent="0.25">
      <c r="B117" s="5"/>
      <c r="N117" s="6"/>
    </row>
    <row r="118" spans="2:14" x14ac:dyDescent="0.25">
      <c r="B118" s="5"/>
      <c r="N118" s="6"/>
    </row>
    <row r="119" spans="2:14" x14ac:dyDescent="0.25">
      <c r="B119" s="5"/>
      <c r="L119" s="89"/>
      <c r="M119" s="89"/>
      <c r="N119" s="6"/>
    </row>
    <row r="120" spans="2:14" ht="27" customHeight="1" x14ac:dyDescent="0.25">
      <c r="B120" s="5"/>
      <c r="C120" s="90" t="str">
        <f>"N-2 - Au "&amp;$Z$7</f>
        <v>N-2 - Au 31/12/2018</v>
      </c>
      <c r="D120" s="90"/>
      <c r="E120" s="90"/>
      <c r="G120" s="90" t="str">
        <f>"N-1 - Au "&amp;$Z$6</f>
        <v>N-1 - Au 31/12/2019</v>
      </c>
      <c r="H120" s="90"/>
      <c r="I120" s="90"/>
      <c r="K120" s="90" t="str">
        <f>"ANNÉE EN COURS - Au "&amp;$X$5</f>
        <v>ANNÉE EN COURS - Au 31/05/2020</v>
      </c>
      <c r="L120" s="90"/>
      <c r="M120" s="90"/>
      <c r="N120" s="6"/>
    </row>
    <row r="121" spans="2:14" ht="21.75" customHeight="1" x14ac:dyDescent="0.25">
      <c r="B121" s="5"/>
      <c r="C121" s="91">
        <f>_xll.Assistant.XL.RIK_AC("INF54__;INF03@E=1,S=7,G=0,T=0,P=0:@R=A,S=13,V={0}:R=C,S=14,V={1}:R=C,S=4,V={2}:",$D$6,$F$6,$V$7)</f>
        <v>0</v>
      </c>
      <c r="D121" s="92"/>
      <c r="E121" s="93"/>
      <c r="G121" s="91">
        <f>_xll.Assistant.XL.RIK_AC("INF54__;INF03@E=1,S=7,G=0,T=0,P=0:@R=A,S=13,V={0}:R=C,S=14,V={1}:R=C,S=4,V={2}:",$D$6,$F$6,$V$6)</f>
        <v>2</v>
      </c>
      <c r="H121" s="92"/>
      <c r="I121" s="93"/>
      <c r="K121" s="91">
        <f>_xll.Assistant.XL.RIK_AC("INF54__;INF03@E=1,S=7,G=0,T=0,P=0:@R=A,S=13,V={0}:R=C,S=14,V={1}:R=C,S=4,V={2}:",$D$6,$F$6,$V$5)</f>
        <v>3</v>
      </c>
      <c r="L121" s="92"/>
      <c r="M121" s="93"/>
      <c r="N121" s="6"/>
    </row>
    <row r="122" spans="2:14" x14ac:dyDescent="0.25">
      <c r="B122" s="5"/>
      <c r="N122" s="6"/>
    </row>
    <row r="123" spans="2:14" x14ac:dyDescent="0.25">
      <c r="B123" s="5"/>
      <c r="N123" s="6"/>
    </row>
    <row r="124" spans="2:14" ht="34.5" customHeight="1" x14ac:dyDescent="0.25">
      <c r="B124" s="69" t="s">
        <v>26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1"/>
    </row>
    <row r="125" spans="2:14" x14ac:dyDescent="0.25">
      <c r="B125" s="5"/>
      <c r="N125" s="6"/>
    </row>
    <row r="126" spans="2:14" x14ac:dyDescent="0.25">
      <c r="B126" s="5"/>
      <c r="N126" s="6"/>
    </row>
    <row r="127" spans="2:14" x14ac:dyDescent="0.25">
      <c r="B127" s="5"/>
      <c r="N127" s="6"/>
    </row>
    <row r="128" spans="2:14" x14ac:dyDescent="0.25">
      <c r="B128" s="5"/>
      <c r="N128" s="6"/>
    </row>
    <row r="129" spans="2:14" x14ac:dyDescent="0.25">
      <c r="B129" s="5"/>
      <c r="C129" t="str">
        <f>_xll.Assistant.XL.RIK_AG("INF54_0_0_0_0_0_0_D=0x0;INF03@E=0,S=4,G=0,T=0_0,P=-1@E=1,S=8@@@R=A,S=13,V={0}:R=B,S=14,V={1}:R=C,S=4,V={2}:",$D$6,$F$6,$V$7)</f>
        <v/>
      </c>
      <c r="G129" t="str">
        <f>_xll.Assistant.XL.RIK_AG("INF54_0_0_0_0_0_0_D=0x0;INF03@E=0,S=4,G=0,T=0_0,P=-1@E=1,S=8@@@R=A,S=13,V={0}:R=B,S=14,V={1}:R=C,S=4,V={2}:",$D$6,$F$6,$V$6)</f>
        <v/>
      </c>
      <c r="K129" t="str">
        <f>_xll.Assistant.XL.RIK_AG("INF54_0_0_0_0_0_0_D=0x0;INF03@E=0,S=4,G=0,T=0_0,P=-1@E=1,S=8@@@R=A,S=13,V={0}:R=B,S=14,V={1}:R=C,S=4,V={2}:",$D$6,$F$6,$V$5)</f>
        <v/>
      </c>
      <c r="N129" s="6"/>
    </row>
    <row r="130" spans="2:14" x14ac:dyDescent="0.25">
      <c r="B130" s="5"/>
      <c r="N130" s="6"/>
    </row>
    <row r="131" spans="2:14" x14ac:dyDescent="0.25">
      <c r="B131" s="5"/>
      <c r="N131" s="6"/>
    </row>
    <row r="132" spans="2:14" x14ac:dyDescent="0.25">
      <c r="B132" s="5"/>
      <c r="N132" s="6"/>
    </row>
    <row r="133" spans="2:14" x14ac:dyDescent="0.25">
      <c r="B133" s="5"/>
      <c r="N133" s="6"/>
    </row>
    <row r="134" spans="2:14" x14ac:dyDescent="0.25">
      <c r="B134" s="5"/>
      <c r="N134" s="6"/>
    </row>
    <row r="135" spans="2:14" x14ac:dyDescent="0.25">
      <c r="B135" s="5"/>
      <c r="N135" s="6"/>
    </row>
    <row r="136" spans="2:14" x14ac:dyDescent="0.25">
      <c r="B136" s="5"/>
      <c r="N136" s="6"/>
    </row>
    <row r="137" spans="2:14" x14ac:dyDescent="0.25">
      <c r="B137" s="5"/>
      <c r="N137" s="6"/>
    </row>
    <row r="138" spans="2:14" x14ac:dyDescent="0.25">
      <c r="B138" s="5"/>
      <c r="N138" s="6"/>
    </row>
    <row r="139" spans="2:14" x14ac:dyDescent="0.25">
      <c r="B139" s="5"/>
      <c r="N139" s="6"/>
    </row>
    <row r="140" spans="2:14" x14ac:dyDescent="0.25">
      <c r="B140" s="5"/>
      <c r="N140" s="6"/>
    </row>
    <row r="141" spans="2:14" x14ac:dyDescent="0.25">
      <c r="B141" s="5"/>
      <c r="N141" s="6"/>
    </row>
    <row r="142" spans="2:14" x14ac:dyDescent="0.25">
      <c r="B142" s="5"/>
      <c r="N142" s="6"/>
    </row>
    <row r="143" spans="2:14" x14ac:dyDescent="0.25">
      <c r="B143" s="5"/>
      <c r="N143" s="6"/>
    </row>
    <row r="144" spans="2:14" x14ac:dyDescent="0.25">
      <c r="B144" s="5"/>
      <c r="N144" s="6"/>
    </row>
    <row r="145" spans="2:14" x14ac:dyDescent="0.25">
      <c r="B145" s="5"/>
      <c r="N145" s="6"/>
    </row>
    <row r="146" spans="2:14" x14ac:dyDescent="0.25">
      <c r="B146" s="5"/>
      <c r="N146" s="6"/>
    </row>
    <row r="147" spans="2:14" x14ac:dyDescent="0.25">
      <c r="B147" s="5"/>
      <c r="N147" s="6"/>
    </row>
    <row r="148" spans="2:14" x14ac:dyDescent="0.25">
      <c r="B148" s="5"/>
      <c r="L148" s="89"/>
      <c r="M148" s="89"/>
      <c r="N148" s="6"/>
    </row>
    <row r="149" spans="2:14" ht="27.75" customHeight="1" x14ac:dyDescent="0.25">
      <c r="B149" s="5"/>
      <c r="C149" s="90" t="str">
        <f>"N-2 - Au "&amp;$Z$7</f>
        <v>N-2 - Au 31/12/2018</v>
      </c>
      <c r="D149" s="90"/>
      <c r="E149" s="90"/>
      <c r="G149" s="90" t="str">
        <f>"N-1 - Au "&amp;$Z$6</f>
        <v>N-1 - Au 31/12/2019</v>
      </c>
      <c r="H149" s="90"/>
      <c r="I149" s="90"/>
      <c r="K149" s="90" t="str">
        <f>"ANNÉE EN COURS - Au "&amp;$X$5</f>
        <v>ANNÉE EN COURS - Au 31/05/2020</v>
      </c>
      <c r="L149" s="90"/>
      <c r="M149" s="90"/>
      <c r="N149" s="6"/>
    </row>
    <row r="150" spans="2:14" ht="21.75" customHeight="1" x14ac:dyDescent="0.25">
      <c r="B150" s="5"/>
      <c r="C150" s="91">
        <f>_xll.Assistant.XL.RIK_AC("INF54__;INF03@E=1,S=8,G=0,T=0,P=0:@R=A,S=13,V={0}:R=B,S=14,V={1}:R=C,S=4,V={2}:",$D$6,$F$6,$V$7)</f>
        <v>0</v>
      </c>
      <c r="D150" s="92"/>
      <c r="E150" s="93"/>
      <c r="G150" s="91">
        <f>_xll.Assistant.XL.RIK_AC("INF54__;INF03@E=1,S=8,G=0,T=0,P=0:@R=A,S=13,V={0}:R=B,S=14,V={1}:R=C,S=4,V={2}:",$D$6,$F$6,$V$6)</f>
        <v>0</v>
      </c>
      <c r="H150" s="92"/>
      <c r="I150" s="93"/>
      <c r="K150" s="91">
        <f>_xll.Assistant.XL.RIK_AC("INF54__;INF03@E=1,S=8,G=0,T=0,P=0:@R=A,S=13,V={0}:R=B,S=14,V={1}:R=C,S=4,V={2}:",$D$6,$F$6,$V$5)</f>
        <v>0</v>
      </c>
      <c r="L150" s="92"/>
      <c r="M150" s="93"/>
      <c r="N150" s="6"/>
    </row>
    <row r="151" spans="2:14" x14ac:dyDescent="0.25">
      <c r="B151" s="5"/>
      <c r="N151" s="6"/>
    </row>
    <row r="152" spans="2:14" x14ac:dyDescent="0.25">
      <c r="B152" s="5"/>
      <c r="N152" s="6"/>
    </row>
    <row r="153" spans="2:14" ht="34.5" customHeight="1" x14ac:dyDescent="0.25">
      <c r="B153" s="69" t="s">
        <v>27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x14ac:dyDescent="0.25">
      <c r="B154" s="5"/>
      <c r="N154" s="6"/>
    </row>
    <row r="155" spans="2:14" x14ac:dyDescent="0.25">
      <c r="B155" s="5"/>
      <c r="N155" s="6"/>
    </row>
    <row r="156" spans="2:14" x14ac:dyDescent="0.25">
      <c r="B156" s="5"/>
      <c r="N156" s="6"/>
    </row>
    <row r="157" spans="2:14" x14ac:dyDescent="0.25">
      <c r="B157" s="5"/>
      <c r="N157" s="6"/>
    </row>
    <row r="158" spans="2:14" x14ac:dyDescent="0.25">
      <c r="B158" s="5"/>
      <c r="N158" s="6"/>
    </row>
    <row r="159" spans="2:14" x14ac:dyDescent="0.25">
      <c r="B159" s="5"/>
      <c r="N159" s="6"/>
    </row>
    <row r="160" spans="2:14" x14ac:dyDescent="0.25">
      <c r="B160" s="5"/>
      <c r="N160" s="6"/>
    </row>
    <row r="161" spans="2:14" x14ac:dyDescent="0.25">
      <c r="B161" s="5"/>
      <c r="N161" s="6"/>
    </row>
    <row r="162" spans="2:14" x14ac:dyDescent="0.25">
      <c r="B162" s="5"/>
      <c r="N162" s="6"/>
    </row>
    <row r="163" spans="2:14" x14ac:dyDescent="0.25">
      <c r="B163" s="5"/>
      <c r="N163" s="6"/>
    </row>
    <row r="164" spans="2:14" x14ac:dyDescent="0.25">
      <c r="B164" s="5"/>
      <c r="N164" s="6"/>
    </row>
    <row r="165" spans="2:14" x14ac:dyDescent="0.25">
      <c r="B165" s="5"/>
      <c r="N165" s="6"/>
    </row>
    <row r="166" spans="2:14" x14ac:dyDescent="0.25">
      <c r="B166" s="5"/>
      <c r="C166" t="str">
        <f>_xll.Assistant.XL.RIK_GAUGE("Type=1;Style=2;Val={0};Min=0;Max=100;SafeValue=20;CriticalValue=60;Colors=0-192-0:255-255-128:192-0-0;Position=100:100",C$179)</f>
        <v/>
      </c>
      <c r="G166" t="str">
        <f>_xll.Assistant.XL.RIK_GAUGE("Type=1;Style=2;Val={0};Min=0;Max=100;SafeValue=20;CriticalValue=60;Colors=0-192-0:255-255-128:192-0-0;Position=100:100",G$179)</f>
        <v/>
      </c>
      <c r="K166" t="str">
        <f>_xll.Assistant.XL.RIK_GAUGE("Type=1;Style=2;Val={0};Min=0;Max=100;SafeValue=20;CriticalValue=60;Colors=0-192-0:255-255-128:192-0-0;Position=100:100",K$179)</f>
        <v/>
      </c>
      <c r="N166" s="6"/>
    </row>
    <row r="167" spans="2:14" x14ac:dyDescent="0.25">
      <c r="B167" s="5"/>
      <c r="N167" s="6"/>
    </row>
    <row r="168" spans="2:14" x14ac:dyDescent="0.25">
      <c r="B168" s="5"/>
      <c r="N168" s="6"/>
    </row>
    <row r="169" spans="2:14" x14ac:dyDescent="0.25">
      <c r="B169" s="5"/>
      <c r="N169" s="6"/>
    </row>
    <row r="170" spans="2:14" x14ac:dyDescent="0.25">
      <c r="B170" s="5"/>
      <c r="N170" s="6"/>
    </row>
    <row r="171" spans="2:14" x14ac:dyDescent="0.25">
      <c r="B171" s="5"/>
      <c r="N171" s="6"/>
    </row>
    <row r="172" spans="2:14" x14ac:dyDescent="0.25">
      <c r="B172" s="5"/>
      <c r="N172" s="6"/>
    </row>
    <row r="173" spans="2:14" x14ac:dyDescent="0.25">
      <c r="B173" s="5"/>
      <c r="N173" s="6"/>
    </row>
    <row r="174" spans="2:14" x14ac:dyDescent="0.25">
      <c r="B174" s="5"/>
      <c r="N174" s="6"/>
    </row>
    <row r="175" spans="2:14" x14ac:dyDescent="0.25">
      <c r="B175" s="5"/>
      <c r="N175" s="6"/>
    </row>
    <row r="176" spans="2:14" x14ac:dyDescent="0.25">
      <c r="B176" s="5"/>
      <c r="N176" s="6"/>
    </row>
    <row r="177" spans="2:14" x14ac:dyDescent="0.25">
      <c r="B177" s="5"/>
      <c r="L177" s="89"/>
      <c r="M177" s="89"/>
      <c r="N177" s="6"/>
    </row>
    <row r="178" spans="2:14" ht="27.75" customHeight="1" x14ac:dyDescent="0.25">
      <c r="B178" s="5"/>
      <c r="C178" s="90" t="str">
        <f>"N-2 - Au "&amp;$Z$7</f>
        <v>N-2 - Au 31/12/2018</v>
      </c>
      <c r="D178" s="90"/>
      <c r="E178" s="90"/>
      <c r="G178" s="90" t="str">
        <f>"N-1 - Au "&amp;$Z$6</f>
        <v>N-1 - Au 31/12/2019</v>
      </c>
      <c r="H178" s="90"/>
      <c r="I178" s="90"/>
      <c r="K178" s="90" t="str">
        <f>"ANNÉE EN COURS - Au "&amp;$X$5</f>
        <v>ANNÉE EN COURS - Au 31/05/2020</v>
      </c>
      <c r="L178" s="90"/>
      <c r="M178" s="90"/>
      <c r="N178" s="6"/>
    </row>
    <row r="179" spans="2:14" ht="21.75" customHeight="1" x14ac:dyDescent="0.25">
      <c r="B179" s="5"/>
      <c r="C179" s="86" t="e">
        <f>(C150+C121)/2/D37*100</f>
        <v>#DIV/0!</v>
      </c>
      <c r="D179" s="87"/>
      <c r="E179" s="88"/>
      <c r="G179" s="86">
        <f>(G150+G121)/2/H37*100</f>
        <v>2.7777777777777777</v>
      </c>
      <c r="H179" s="87"/>
      <c r="I179" s="88"/>
      <c r="K179" s="86">
        <f>(K150+K121)/2/L37*100</f>
        <v>3.8461538461538463</v>
      </c>
      <c r="L179" s="87"/>
      <c r="M179" s="88"/>
      <c r="N179" s="6"/>
    </row>
    <row r="180" spans="2:14" x14ac:dyDescent="0.25">
      <c r="B180" s="5"/>
      <c r="N180" s="6"/>
    </row>
    <row r="181" spans="2:14" x14ac:dyDescent="0.25"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2"/>
    </row>
  </sheetData>
  <mergeCells count="43">
    <mergeCell ref="B1:N1"/>
    <mergeCell ref="B10:N10"/>
    <mergeCell ref="L34:M34"/>
    <mergeCell ref="C35:E35"/>
    <mergeCell ref="G35:I35"/>
    <mergeCell ref="K35:M35"/>
    <mergeCell ref="B95:N95"/>
    <mergeCell ref="C36:E36"/>
    <mergeCell ref="G36:I36"/>
    <mergeCell ref="K36:M36"/>
    <mergeCell ref="B39:N39"/>
    <mergeCell ref="L63:M63"/>
    <mergeCell ref="C64:E64"/>
    <mergeCell ref="G64:I64"/>
    <mergeCell ref="K64:M64"/>
    <mergeCell ref="B67:N67"/>
    <mergeCell ref="L91:M91"/>
    <mergeCell ref="C92:E92"/>
    <mergeCell ref="G92:I92"/>
    <mergeCell ref="K92:M92"/>
    <mergeCell ref="L119:M119"/>
    <mergeCell ref="C120:E120"/>
    <mergeCell ref="G120:I120"/>
    <mergeCell ref="K120:M120"/>
    <mergeCell ref="C121:E121"/>
    <mergeCell ref="G121:I121"/>
    <mergeCell ref="K121:M121"/>
    <mergeCell ref="C179:E179"/>
    <mergeCell ref="G179:I179"/>
    <mergeCell ref="K179:M179"/>
    <mergeCell ref="B124:N124"/>
    <mergeCell ref="L148:M148"/>
    <mergeCell ref="C149:E149"/>
    <mergeCell ref="G149:I149"/>
    <mergeCell ref="K149:M149"/>
    <mergeCell ref="C150:E150"/>
    <mergeCell ref="G150:I150"/>
    <mergeCell ref="K150:M150"/>
    <mergeCell ref="B153:N153"/>
    <mergeCell ref="L177:M177"/>
    <mergeCell ref="C178:E178"/>
    <mergeCell ref="G178:I178"/>
    <mergeCell ref="K178:M17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7A21-8CD7-485E-A4D2-DF3F0E016C9B}">
  <dimension ref="B1:T184"/>
  <sheetViews>
    <sheetView showGridLines="0" workbookViewId="0">
      <pane ySplit="1" topLeftCell="A2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6.42578125" customWidth="1"/>
    <col min="3" max="3" width="21.42578125" customWidth="1"/>
    <col min="4" max="4" width="15.85546875" bestFit="1" customWidth="1"/>
    <col min="5" max="5" width="21.140625" customWidth="1"/>
    <col min="6" max="6" width="23.140625" customWidth="1"/>
    <col min="7" max="7" width="21.140625" customWidth="1"/>
    <col min="8" max="8" width="24.425781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</cols>
  <sheetData>
    <row r="1" spans="2:20" ht="58.5" customHeight="1" x14ac:dyDescent="0.25"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0" ht="12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0" ht="12" customHeight="1" x14ac:dyDescent="0.25">
      <c r="B3" s="5"/>
      <c r="N3" s="6"/>
    </row>
    <row r="4" spans="2:20" ht="12" customHeight="1" x14ac:dyDescent="0.25">
      <c r="B4" s="5"/>
      <c r="N4" s="6"/>
    </row>
    <row r="5" spans="2:20" ht="44.25" customHeight="1" x14ac:dyDescent="0.25">
      <c r="B5" s="5"/>
      <c r="D5" s="23" t="s">
        <v>2</v>
      </c>
      <c r="F5" s="23" t="s">
        <v>4</v>
      </c>
      <c r="H5" s="23" t="s">
        <v>46</v>
      </c>
      <c r="L5" s="23" t="s">
        <v>6</v>
      </c>
      <c r="N5" s="6"/>
      <c r="Q5" s="26" t="s">
        <v>7</v>
      </c>
      <c r="R5" s="27">
        <f>EOMONTH(S5,0)</f>
        <v>43861</v>
      </c>
      <c r="S5" s="26" t="str">
        <f>"01/"&amp;"01/"&amp;TEXT(R6,"aaaa")</f>
        <v>01/01/2020</v>
      </c>
      <c r="T5" s="26" t="str">
        <f>MID(S5,7,4)&amp;MID(S5,4,2)&amp;".."&amp;MID(S6,7,4)&amp;MID(S6,4,2)</f>
        <v>202001..202005</v>
      </c>
    </row>
    <row r="6" spans="2:20" ht="27" customHeight="1" x14ac:dyDescent="0.25">
      <c r="B6" s="5"/>
      <c r="D6" s="13">
        <f>ACCUEIL!N11</f>
        <v>995002433</v>
      </c>
      <c r="F6" s="13" t="str">
        <f>ACCUEIL!N14</f>
        <v>*</v>
      </c>
      <c r="H6" s="13" t="s">
        <v>47</v>
      </c>
      <c r="L6" s="14">
        <f>ACCUEIL!N17</f>
        <v>43982</v>
      </c>
      <c r="N6" s="6"/>
      <c r="Q6" s="26" t="s">
        <v>8</v>
      </c>
      <c r="R6" s="27">
        <f>L6</f>
        <v>43982</v>
      </c>
      <c r="S6" s="26" t="str">
        <f>"01/"&amp;TEXT(R6,"mm")&amp;"/"&amp;TEXT(R6,"aaaa")</f>
        <v>01/05/2020</v>
      </c>
      <c r="T6" s="26"/>
    </row>
    <row r="7" spans="2:20" ht="12" customHeight="1" x14ac:dyDescent="0.25">
      <c r="B7" s="5"/>
      <c r="K7" s="7"/>
      <c r="N7" s="6"/>
    </row>
    <row r="8" spans="2:20" ht="12" customHeight="1" x14ac:dyDescent="0.25">
      <c r="B8" s="5"/>
      <c r="K8" s="7"/>
      <c r="N8" s="6"/>
    </row>
    <row r="9" spans="2:20" ht="12" customHeight="1" x14ac:dyDescent="0.25">
      <c r="B9" s="5"/>
      <c r="K9" s="7"/>
      <c r="N9" s="6"/>
    </row>
    <row r="10" spans="2:20" ht="34.5" customHeight="1" x14ac:dyDescent="0.25">
      <c r="B10" s="69" t="s">
        <v>29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20" x14ac:dyDescent="0.25">
      <c r="B11" s="5"/>
      <c r="N11" s="6"/>
    </row>
    <row r="12" spans="2:20" x14ac:dyDescent="0.25">
      <c r="B12" s="5"/>
      <c r="N12" s="6"/>
    </row>
    <row r="13" spans="2:20" x14ac:dyDescent="0.25">
      <c r="B13" s="5"/>
      <c r="N13" s="6"/>
    </row>
    <row r="14" spans="2:20" x14ac:dyDescent="0.25">
      <c r="B14" s="5"/>
      <c r="N14" s="6"/>
    </row>
    <row r="15" spans="2:20" x14ac:dyDescent="0.25">
      <c r="B15" s="5"/>
      <c r="C15" t="str">
        <f>_xll.Assistant.XL.RIK_AG("INF54_0_0_0_0_0_0_D=0x0;INF02@E=0,S=1|8,G=0,T=0_0,P=-1@E=1,S=7@@@R=A,S=1,V={0}:R=B,S=2,V={1}:R=C,S=4,V=Rémunération:R=D,S=13,V={2}:R=E,S=6,V={3}:",$D$6,$F$6,$T$5,$H$6)</f>
        <v/>
      </c>
      <c r="G15" t="str">
        <f>_xll.Assistant.XL.RIK_AG("INF54_0_0_0_0_0_0_D=0x0;INF02@E=0,S=1|19,G=0,T=0_0,P=-1@E=1,S=7@@@R=A,S=1,V={0}:R=B,S=2,V={1}:R=C,S=4,V=Rémunération:R=D,S=13,V={2}:R=E,S=6,V={3}:",$D$6,$F$6,$T$5,$H$6)</f>
        <v/>
      </c>
      <c r="N15" s="6"/>
    </row>
    <row r="16" spans="2:20" x14ac:dyDescent="0.25">
      <c r="B16" s="5"/>
      <c r="N16" s="6"/>
    </row>
    <row r="17" spans="2:14" x14ac:dyDescent="0.25">
      <c r="B17" s="5"/>
      <c r="K17" t="str">
        <f>_xll.Assistant.XL.RIK_AG("INF54_0_0_0_0_0_0_D=0x0;INF02@E=0,S=1|46,G=0,T=0_0,P=-1@E=1,S=7@@@R=A,S=1,V={0}:R=B,S=2,V={1}:R=C,S=4,V=Rémunération:R=A,S=6,V=Rémunération brute non plafonnée:",$D$6,$F$6)</f>
        <v/>
      </c>
      <c r="N17" s="6"/>
    </row>
    <row r="18" spans="2:14" x14ac:dyDescent="0.25">
      <c r="B18" s="5"/>
      <c r="N18" s="6"/>
    </row>
    <row r="19" spans="2:14" x14ac:dyDescent="0.25">
      <c r="B19" s="5"/>
      <c r="N19" s="6"/>
    </row>
    <row r="20" spans="2:14" x14ac:dyDescent="0.25">
      <c r="B20" s="5"/>
      <c r="N20" s="6"/>
    </row>
    <row r="21" spans="2:14" x14ac:dyDescent="0.25">
      <c r="B21" s="5"/>
      <c r="N21" s="6"/>
    </row>
    <row r="22" spans="2:14" x14ac:dyDescent="0.25">
      <c r="B22" s="5"/>
      <c r="N22" s="6"/>
    </row>
    <row r="23" spans="2:14" x14ac:dyDescent="0.25">
      <c r="B23" s="5"/>
      <c r="N23" s="6"/>
    </row>
    <row r="24" spans="2:14" x14ac:dyDescent="0.25">
      <c r="B24" s="5"/>
      <c r="N24" s="6"/>
    </row>
    <row r="25" spans="2:14" x14ac:dyDescent="0.25">
      <c r="B25" s="5"/>
      <c r="N25" s="6"/>
    </row>
    <row r="26" spans="2:14" x14ac:dyDescent="0.25">
      <c r="B26" s="5"/>
      <c r="L26" t="str">
        <f>_xll.Assistant.XL.RIK_AG("INF54_0_0_0_0_0_0_D=0x0;INF02@E=0,S=1|45,G=0,T=0_0,P=-1@E=1,S=7@@@R=A,S=1,V={0}:R=B,S=2,V={1}:R=A,S=6,V=Rémunération brute non plafonnée:R=B,S=13,V={2}:",$D$6,$F$6,$T$5)</f>
        <v/>
      </c>
      <c r="N26" s="6"/>
    </row>
    <row r="27" spans="2:14" x14ac:dyDescent="0.25">
      <c r="B27" s="5"/>
      <c r="N27" s="6"/>
    </row>
    <row r="28" spans="2:14" x14ac:dyDescent="0.25">
      <c r="B28" s="5"/>
      <c r="N28" s="6"/>
    </row>
    <row r="29" spans="2:14" x14ac:dyDescent="0.25">
      <c r="B29" s="5"/>
      <c r="N29" s="6"/>
    </row>
    <row r="30" spans="2:14" x14ac:dyDescent="0.25">
      <c r="B30" s="5"/>
      <c r="N30" s="6"/>
    </row>
    <row r="31" spans="2:14" x14ac:dyDescent="0.25">
      <c r="B31" s="5"/>
      <c r="N31" s="6"/>
    </row>
    <row r="32" spans="2:14" x14ac:dyDescent="0.25">
      <c r="B32" s="5"/>
      <c r="N32" s="6"/>
    </row>
    <row r="33" spans="2:14" x14ac:dyDescent="0.25">
      <c r="B33" s="5"/>
      <c r="N33" s="6"/>
    </row>
    <row r="34" spans="2:14" x14ac:dyDescent="0.25">
      <c r="B34" s="5"/>
      <c r="N34" s="6"/>
    </row>
    <row r="35" spans="2:14" ht="27" customHeight="1" x14ac:dyDescent="0.25">
      <c r="B35" s="5"/>
      <c r="C35" s="90" t="s">
        <v>30</v>
      </c>
      <c r="D35" s="90"/>
      <c r="E35" s="90"/>
      <c r="G35" s="90" t="s">
        <v>31</v>
      </c>
      <c r="H35" s="90"/>
      <c r="I35" s="90"/>
      <c r="N35" s="6"/>
    </row>
    <row r="36" spans="2:14" x14ac:dyDescent="0.25">
      <c r="B36" s="5"/>
      <c r="N36" s="6"/>
    </row>
    <row r="37" spans="2:14" x14ac:dyDescent="0.25">
      <c r="B37" s="5"/>
      <c r="N37" s="6"/>
    </row>
    <row r="38" spans="2:14" x14ac:dyDescent="0.25">
      <c r="B38" s="5"/>
      <c r="N38" s="6"/>
    </row>
    <row r="39" spans="2:14" x14ac:dyDescent="0.25">
      <c r="B39" s="5"/>
      <c r="N39" s="6"/>
    </row>
    <row r="40" spans="2:14" x14ac:dyDescent="0.25">
      <c r="B40" s="5"/>
      <c r="N40" s="6"/>
    </row>
    <row r="41" spans="2:14" x14ac:dyDescent="0.25">
      <c r="B41" s="5"/>
      <c r="N41" s="6"/>
    </row>
    <row r="42" spans="2:14" x14ac:dyDescent="0.25">
      <c r="B42" s="5"/>
      <c r="N42" s="6"/>
    </row>
    <row r="43" spans="2:14" x14ac:dyDescent="0.25">
      <c r="B43" s="5"/>
      <c r="N43" s="6"/>
    </row>
    <row r="44" spans="2:14" x14ac:dyDescent="0.25">
      <c r="B44" s="5"/>
      <c r="I44" t="str">
        <f>_xll.Assistant.XL.RIK_AG("INF54_0_0_0_0_0_0_D=0x0;INF02@E=0,S=2,G=0,T=0_0,P=-1@E=1,S=7@@@R=A,S=1,V={0}:R=B,S=2,V={1}:R=C,S=4,V=Rémunération:R=D,S=13,V={2}:R=E,S=6,V={3}:",$D$6,$F$6,$T$5,$H$6)</f>
        <v/>
      </c>
      <c r="N44" s="6"/>
    </row>
    <row r="45" spans="2:14" x14ac:dyDescent="0.25">
      <c r="B45" s="5"/>
      <c r="N45" s="6"/>
    </row>
    <row r="46" spans="2:14" x14ac:dyDescent="0.25">
      <c r="B46" s="5"/>
      <c r="N46" s="6"/>
    </row>
    <row r="47" spans="2:14" x14ac:dyDescent="0.25">
      <c r="B47" s="5"/>
      <c r="F47" t="str">
        <f>_xll.Assistant.XL.RIK_AG("INF54_0_0_0_0_0_0_D=0x0;INF02@E=0,S=1|39,G=0,T=0_0,P=-1@E=1,S=7@@@R=A,S=1,V={0}:R=B,S=2,V={1}:R=C,S=4,V=Rémunération:R=D,S=6,V={2}:R=E,S=13,V={3}:",$D$6,$F$6,$H$6,$T$5)</f>
        <v/>
      </c>
      <c r="N47" s="6"/>
    </row>
    <row r="48" spans="2:14" x14ac:dyDescent="0.25">
      <c r="B48" s="5"/>
      <c r="N48" s="6"/>
    </row>
    <row r="49" spans="2:14" x14ac:dyDescent="0.25">
      <c r="B49" s="5"/>
      <c r="N49" s="6"/>
    </row>
    <row r="50" spans="2:14" x14ac:dyDescent="0.25">
      <c r="B50" s="5"/>
      <c r="N50" s="6"/>
    </row>
    <row r="51" spans="2:14" x14ac:dyDescent="0.25">
      <c r="B51" s="5"/>
      <c r="N51" s="6"/>
    </row>
    <row r="52" spans="2:14" x14ac:dyDescent="0.25">
      <c r="B52" s="5"/>
      <c r="N52" s="6"/>
    </row>
    <row r="53" spans="2:14" x14ac:dyDescent="0.25">
      <c r="B53" s="5"/>
      <c r="N53" s="6"/>
    </row>
    <row r="54" spans="2:14" x14ac:dyDescent="0.25">
      <c r="B54" s="5"/>
      <c r="N54" s="6"/>
    </row>
    <row r="55" spans="2:14" x14ac:dyDescent="0.25">
      <c r="B55" s="5"/>
      <c r="N55" s="6"/>
    </row>
    <row r="56" spans="2:14" x14ac:dyDescent="0.25">
      <c r="B56" s="5"/>
      <c r="N56" s="6"/>
    </row>
    <row r="57" spans="2:14" x14ac:dyDescent="0.25">
      <c r="B57" s="5"/>
      <c r="N57" s="6"/>
    </row>
    <row r="58" spans="2:14" x14ac:dyDescent="0.25">
      <c r="B58" s="5"/>
      <c r="N58" s="6"/>
    </row>
    <row r="59" spans="2:14" x14ac:dyDescent="0.25">
      <c r="B59" s="5"/>
      <c r="N59" s="6"/>
    </row>
    <row r="60" spans="2:14" ht="27" customHeight="1" x14ac:dyDescent="0.25">
      <c r="B60" s="5"/>
      <c r="E60" s="90" t="s">
        <v>23</v>
      </c>
      <c r="F60" s="90"/>
      <c r="G60" s="90"/>
      <c r="I60" s="90" t="s">
        <v>32</v>
      </c>
      <c r="J60" s="90"/>
      <c r="K60" s="90"/>
      <c r="N60" s="6"/>
    </row>
    <row r="61" spans="2:14" x14ac:dyDescent="0.25">
      <c r="B61" s="5"/>
      <c r="N61" s="6"/>
    </row>
    <row r="62" spans="2:14" x14ac:dyDescent="0.25">
      <c r="B62" s="5"/>
      <c r="N62" s="6"/>
    </row>
    <row r="63" spans="2:14" ht="34.5" customHeight="1" x14ac:dyDescent="0.25">
      <c r="B63" s="69" t="s">
        <v>33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</row>
    <row r="64" spans="2:14" x14ac:dyDescent="0.25">
      <c r="B64" s="5"/>
      <c r="N64" s="6"/>
    </row>
    <row r="65" spans="2:14" x14ac:dyDescent="0.25">
      <c r="B65" s="5"/>
      <c r="N65" s="6"/>
    </row>
    <row r="66" spans="2:14" x14ac:dyDescent="0.25">
      <c r="B66" s="5"/>
      <c r="D66" s="28"/>
      <c r="E66" s="28"/>
      <c r="F66" s="28"/>
      <c r="G66" s="28"/>
      <c r="I66" s="28"/>
      <c r="J66" s="28"/>
      <c r="K66" s="28"/>
      <c r="L66" s="28"/>
      <c r="M66" s="28"/>
      <c r="N66" s="6"/>
    </row>
    <row r="67" spans="2:14" ht="3.75" customHeight="1" x14ac:dyDescent="0.25">
      <c r="B67" s="5"/>
      <c r="C67" s="30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1,P=1,O=NF='Nombre'_B='0'_U='0'_I='0'_FN='Calibri'_FS='10'_FC='#000000'_BC='#FFFFFF'_AH='3'_AV='1'_Br=[]_BrS='0'_BrC='#FFFFFF'_WpT='0':@R=A,S=1,V={0}:R=B,S=2"&amp;",V={1}:R=C,S=4,V=Rémunération:R=D,S=13,V={2}:R=E,S=6,V={3}:R=F,S=1|8,V=FEMME:",$D$6,$F$6,$T$5,$H$6)</f>
        <v/>
      </c>
      <c r="D67" s="33"/>
      <c r="F67" s="30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1,P=1,O=NF='Nombre'_B='0'_U='0'_I='0'_FN='Calibri'_FS='10'_FC='#000000'_BC='#FFFFFF'_AH='3'_AV='1'_Br=[]_BrS='0'_BrC='#FFFFFF'_WpT='0':@R=A,S=1,V={0}:R=B,S=2"&amp;",V={1}:R=C,S=4,V=Rémunération:R=D,S=13,V={2}:R=E,S=6,V={3}:R=F,S=1|8,V=HOMME:",$D$6,$F$6,$T$5,$H$6)</f>
        <v/>
      </c>
      <c r="G67" s="33"/>
      <c r="I67" s="30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0,P=1,O=NF='Nombre'_B='0'_U='0'_I='0'_FN='Calibri'_FS='10'_FC='#000000'_BC='#FFFFFF'_AH='3'_AV='1'_Br=[]_BrS='0'_BrC='#FFFFFF'_WpT='0':@R=A,S=1,V={0}:R=B,S=2"&amp;",V={1}:R=C,S=4,V=Rémunération:R=D,S=13,V={2}:R=E,S=6,V={3}:R=F,S=1|8,V=FEMME:",$D$6,$F$6,$T$5,$H$6)</f>
        <v/>
      </c>
      <c r="J67" s="33"/>
      <c r="L67" s="30" t="str">
        <f>_xll.Assistant.XL.RIK_AL("INF54__2_0_0,F=B='1',U='0',I='0',FN='Calibri',FS='10',FC='#FFFFFF',BC='#A5A5A5',AH='1',AV='1',Br=[$top-$bottom],BrS='1',BrC='#778899'_0,C=Total,F=B='1',U='0',I='0',FN='Calibri',FS='10',FC='#000000',BC='#FFFFFF',AH='1',AV"&amp;"='1',Br=[$top-$bottom],BrS='1',BrC='#778899'_10,F,N_0_0_1_D=10x2;INF02@L=Nom Prénom,E=0,G=0,T=0,P=0,F=CONCATENER([1|6];{g} {g};[1|5]),Y=1,O=NF='Standard'_B='0'_U='0'_I='0'_FN='Calibri'_FS='10'_FC='#000000'_BC='#FFFFFF'_A"&amp;"H='1'_AV='1'_Br=[]_BrS='0'_BrC='#FFFFFF'_WpT='0':E=1,S=7,G=0,T=0,P=1,O=NF='Nombre'_B='0'_U='0'_I='0'_FN='Calibri'_FS='10'_FC='#000000'_BC='#FFFFFF'_AH='3'_AV='1'_Br=[]_BrS='0'_BrC='#FFFFFF'_WpT='0':@R=A,S=1,V={0}:R=B,S=2"&amp;",V={1}:R=C,S=4,V=Rémunération:R=D,S=13,V={2}:R=E,S=6,V={3}:R=F,S=1|8,V=HOMME:",$D$6,$F$6,$T$5,$H$6)</f>
        <v/>
      </c>
      <c r="M67" s="33"/>
      <c r="N67" s="6"/>
    </row>
    <row r="68" spans="2:14" x14ac:dyDescent="0.25">
      <c r="B68" s="5"/>
      <c r="C68" s="39" t="s">
        <v>49</v>
      </c>
      <c r="D68" s="29">
        <v>21533.5</v>
      </c>
      <c r="F68" s="39" t="s">
        <v>63</v>
      </c>
      <c r="G68" s="29">
        <v>34017.490000000005</v>
      </c>
      <c r="I68" s="39" t="s">
        <v>58</v>
      </c>
      <c r="J68" s="29">
        <v>4406.37</v>
      </c>
      <c r="L68" s="39" t="s">
        <v>73</v>
      </c>
      <c r="M68" s="29">
        <v>3940</v>
      </c>
      <c r="N68" s="6"/>
    </row>
    <row r="69" spans="2:14" x14ac:dyDescent="0.25">
      <c r="B69" s="5"/>
      <c r="C69" s="39" t="s">
        <v>48</v>
      </c>
      <c r="D69" s="29">
        <v>16779.900000000001</v>
      </c>
      <c r="F69" s="39" t="s">
        <v>64</v>
      </c>
      <c r="G69" s="29">
        <v>16878.439999999999</v>
      </c>
      <c r="I69" s="39" t="s">
        <v>59</v>
      </c>
      <c r="J69" s="29">
        <v>4663.34</v>
      </c>
      <c r="L69" s="39" t="s">
        <v>75</v>
      </c>
      <c r="M69" s="29">
        <v>7623.63</v>
      </c>
      <c r="N69" s="6"/>
    </row>
    <row r="70" spans="2:14" x14ac:dyDescent="0.25">
      <c r="B70" s="5"/>
      <c r="C70" s="39" t="s">
        <v>50</v>
      </c>
      <c r="D70" s="29">
        <v>12532.75</v>
      </c>
      <c r="F70" s="39" t="s">
        <v>65</v>
      </c>
      <c r="G70" s="29">
        <v>15750.11</v>
      </c>
      <c r="I70" s="39" t="s">
        <v>60</v>
      </c>
      <c r="J70" s="29">
        <v>6231.02</v>
      </c>
      <c r="L70" s="39" t="s">
        <v>74</v>
      </c>
      <c r="M70" s="29">
        <v>8131.88</v>
      </c>
      <c r="N70" s="6"/>
    </row>
    <row r="71" spans="2:14" x14ac:dyDescent="0.25">
      <c r="B71" s="5"/>
      <c r="C71" s="39" t="s">
        <v>55</v>
      </c>
      <c r="D71" s="29">
        <v>11066.35</v>
      </c>
      <c r="F71" s="39" t="s">
        <v>68</v>
      </c>
      <c r="G71" s="29">
        <v>14942.25</v>
      </c>
      <c r="I71" s="39" t="s">
        <v>54</v>
      </c>
      <c r="J71" s="29">
        <v>7903.7499999999991</v>
      </c>
      <c r="L71" s="39" t="s">
        <v>76</v>
      </c>
      <c r="M71" s="29">
        <v>8184.39</v>
      </c>
      <c r="N71" s="6"/>
    </row>
    <row r="72" spans="2:14" x14ac:dyDescent="0.25">
      <c r="B72" s="5"/>
      <c r="C72" s="39" t="s">
        <v>51</v>
      </c>
      <c r="D72" s="29">
        <v>10333.240000000002</v>
      </c>
      <c r="F72" s="39" t="s">
        <v>66</v>
      </c>
      <c r="G72" s="29">
        <v>12836.26</v>
      </c>
      <c r="I72" s="39" t="s">
        <v>61</v>
      </c>
      <c r="J72" s="29">
        <v>8486.83</v>
      </c>
      <c r="L72" s="39" t="s">
        <v>77</v>
      </c>
      <c r="M72" s="29">
        <v>8198.25</v>
      </c>
      <c r="N72" s="6"/>
    </row>
    <row r="73" spans="2:14" x14ac:dyDescent="0.25">
      <c r="B73" s="5"/>
      <c r="C73" s="39" t="s">
        <v>52</v>
      </c>
      <c r="D73" s="29">
        <v>9865.1400000000012</v>
      </c>
      <c r="F73" s="39" t="s">
        <v>67</v>
      </c>
      <c r="G73" s="29">
        <v>11935.52</v>
      </c>
      <c r="I73" s="39" t="s">
        <v>62</v>
      </c>
      <c r="J73" s="29">
        <v>8493.42</v>
      </c>
      <c r="L73" s="39" t="s">
        <v>81</v>
      </c>
      <c r="M73" s="29">
        <v>8200</v>
      </c>
      <c r="N73" s="6"/>
    </row>
    <row r="74" spans="2:14" x14ac:dyDescent="0.25">
      <c r="B74" s="5"/>
      <c r="C74" s="39" t="s">
        <v>56</v>
      </c>
      <c r="D74" s="29">
        <v>8499.17</v>
      </c>
      <c r="F74" s="39" t="s">
        <v>72</v>
      </c>
      <c r="G74" s="29">
        <v>10961.32</v>
      </c>
      <c r="I74" s="39" t="s">
        <v>53</v>
      </c>
      <c r="J74" s="29">
        <v>8494.26</v>
      </c>
      <c r="L74" s="39" t="s">
        <v>78</v>
      </c>
      <c r="M74" s="29">
        <v>8355.0300000000007</v>
      </c>
      <c r="N74" s="6"/>
    </row>
    <row r="75" spans="2:14" x14ac:dyDescent="0.25">
      <c r="B75" s="5"/>
      <c r="C75" s="39" t="s">
        <v>57</v>
      </c>
      <c r="D75" s="29">
        <v>8496.5400000000009</v>
      </c>
      <c r="F75" s="39" t="s">
        <v>70</v>
      </c>
      <c r="G75" s="29">
        <v>10960.8</v>
      </c>
      <c r="I75" s="39" t="s">
        <v>57</v>
      </c>
      <c r="J75" s="29">
        <v>8496.5400000000009</v>
      </c>
      <c r="L75" s="39" t="s">
        <v>79</v>
      </c>
      <c r="M75" s="29">
        <v>8494.8799999999992</v>
      </c>
      <c r="N75" s="6"/>
    </row>
    <row r="76" spans="2:14" x14ac:dyDescent="0.25">
      <c r="B76" s="5"/>
      <c r="C76" s="39" t="s">
        <v>53</v>
      </c>
      <c r="D76" s="29">
        <v>8494.26</v>
      </c>
      <c r="F76" s="39" t="s">
        <v>71</v>
      </c>
      <c r="G76" s="29">
        <v>10960.8</v>
      </c>
      <c r="I76" s="39" t="s">
        <v>56</v>
      </c>
      <c r="J76" s="29">
        <v>8499.17</v>
      </c>
      <c r="L76" s="39" t="s">
        <v>80</v>
      </c>
      <c r="M76" s="29">
        <v>9101.5499999999993</v>
      </c>
      <c r="N76" s="6"/>
    </row>
    <row r="77" spans="2:14" x14ac:dyDescent="0.25">
      <c r="B77" s="5"/>
      <c r="C77" s="39" t="s">
        <v>62</v>
      </c>
      <c r="D77" s="29">
        <v>8493.42</v>
      </c>
      <c r="F77" s="39" t="s">
        <v>69</v>
      </c>
      <c r="G77" s="29">
        <v>10904.440000000002</v>
      </c>
      <c r="I77" s="39" t="s">
        <v>52</v>
      </c>
      <c r="J77" s="29">
        <v>9865.1400000000012</v>
      </c>
      <c r="L77" s="39" t="s">
        <v>82</v>
      </c>
      <c r="M77" s="29">
        <v>9495.7300000000014</v>
      </c>
      <c r="N77" s="6"/>
    </row>
    <row r="78" spans="2:14" ht="30" customHeight="1" x14ac:dyDescent="0.25">
      <c r="B78" s="5"/>
      <c r="C78" s="90" t="s">
        <v>34</v>
      </c>
      <c r="D78" s="90"/>
      <c r="E78" s="90"/>
      <c r="F78" s="90"/>
      <c r="G78" s="90"/>
      <c r="I78" s="90" t="s">
        <v>35</v>
      </c>
      <c r="J78" s="90"/>
      <c r="K78" s="90"/>
      <c r="L78" s="90"/>
      <c r="M78" s="90"/>
      <c r="N78" s="6"/>
    </row>
    <row r="79" spans="2:14" x14ac:dyDescent="0.25">
      <c r="B79" s="5"/>
      <c r="N79" s="6"/>
    </row>
    <row r="80" spans="2:14" x14ac:dyDescent="0.25">
      <c r="B80" s="5"/>
      <c r="N80" s="6"/>
    </row>
    <row r="81" spans="2:14" x14ac:dyDescent="0.25">
      <c r="B81" s="5"/>
      <c r="N81" s="6"/>
    </row>
    <row r="82" spans="2:14" x14ac:dyDescent="0.25">
      <c r="B82" s="5"/>
      <c r="D82" s="8"/>
      <c r="N82" s="6"/>
    </row>
    <row r="83" spans="2:14" x14ac:dyDescent="0.25">
      <c r="B83" s="5"/>
      <c r="N83" s="6"/>
    </row>
    <row r="84" spans="2:14" x14ac:dyDescent="0.25">
      <c r="B84" s="5"/>
      <c r="N84" s="6"/>
    </row>
    <row r="85" spans="2:14" x14ac:dyDescent="0.25">
      <c r="B85" s="5"/>
      <c r="N85" s="6"/>
    </row>
    <row r="86" spans="2:14" x14ac:dyDescent="0.25">
      <c r="B86" s="5"/>
      <c r="N86" s="6"/>
    </row>
    <row r="87" spans="2:14" x14ac:dyDescent="0.25">
      <c r="B87" s="5"/>
      <c r="N87" s="6"/>
    </row>
    <row r="88" spans="2:14" x14ac:dyDescent="0.25">
      <c r="B88" s="5"/>
      <c r="N88" s="6"/>
    </row>
    <row r="89" spans="2:14" x14ac:dyDescent="0.25">
      <c r="B89" s="5"/>
      <c r="N89" s="6"/>
    </row>
    <row r="90" spans="2:14" x14ac:dyDescent="0.25">
      <c r="B90" s="5"/>
      <c r="N90" s="6"/>
    </row>
    <row r="91" spans="2:14" x14ac:dyDescent="0.25">
      <c r="B91" s="5"/>
      <c r="N91" s="6"/>
    </row>
    <row r="92" spans="2:14" x14ac:dyDescent="0.25">
      <c r="B92" s="5"/>
      <c r="N92" s="6"/>
    </row>
    <row r="93" spans="2:14" x14ac:dyDescent="0.25">
      <c r="B93" s="5"/>
      <c r="N93" s="6"/>
    </row>
    <row r="94" spans="2:14" x14ac:dyDescent="0.25">
      <c r="B94" s="5"/>
      <c r="N94" s="6"/>
    </row>
    <row r="95" spans="2:14" x14ac:dyDescent="0.25">
      <c r="B95" s="5"/>
      <c r="N95" s="6"/>
    </row>
    <row r="96" spans="2:14" x14ac:dyDescent="0.25">
      <c r="B96" s="5"/>
      <c r="N96" s="6"/>
    </row>
    <row r="97" spans="2:14" x14ac:dyDescent="0.25">
      <c r="B97" s="5"/>
      <c r="N97" s="6"/>
    </row>
    <row r="98" spans="2:14" x14ac:dyDescent="0.25">
      <c r="B98" s="5"/>
      <c r="N98" s="6"/>
    </row>
    <row r="99" spans="2:14" x14ac:dyDescent="0.25">
      <c r="B99" s="5"/>
      <c r="N99" s="6"/>
    </row>
    <row r="100" spans="2:14" x14ac:dyDescent="0.25">
      <c r="B100" s="5"/>
      <c r="N100" s="6"/>
    </row>
    <row r="101" spans="2:14" x14ac:dyDescent="0.25">
      <c r="B101" s="5"/>
      <c r="N101" s="6"/>
    </row>
    <row r="102" spans="2:14" x14ac:dyDescent="0.25">
      <c r="B102" s="5"/>
      <c r="N102" s="6"/>
    </row>
    <row r="103" spans="2:14" x14ac:dyDescent="0.25">
      <c r="B103" s="5"/>
      <c r="N103" s="6"/>
    </row>
    <row r="104" spans="2:14" x14ac:dyDescent="0.25">
      <c r="B104" s="5"/>
      <c r="N104" s="6"/>
    </row>
    <row r="105" spans="2:14" x14ac:dyDescent="0.25">
      <c r="B105" s="5"/>
      <c r="N105" s="6"/>
    </row>
    <row r="106" spans="2:14" x14ac:dyDescent="0.25">
      <c r="B106" s="5"/>
      <c r="N106" s="6"/>
    </row>
    <row r="107" spans="2:14" x14ac:dyDescent="0.25">
      <c r="B107" s="5"/>
      <c r="N107" s="6"/>
    </row>
    <row r="108" spans="2:14" x14ac:dyDescent="0.25">
      <c r="B108" s="5"/>
      <c r="N108" s="6"/>
    </row>
    <row r="109" spans="2:14" x14ac:dyDescent="0.25">
      <c r="B109" s="5"/>
      <c r="N109" s="6"/>
    </row>
    <row r="110" spans="2:14" x14ac:dyDescent="0.25">
      <c r="B110" s="5"/>
      <c r="N110" s="6"/>
    </row>
    <row r="111" spans="2:14" x14ac:dyDescent="0.25">
      <c r="B111" s="5"/>
      <c r="N111" s="6"/>
    </row>
    <row r="112" spans="2:14" x14ac:dyDescent="0.25">
      <c r="B112" s="5"/>
      <c r="N112" s="6"/>
    </row>
    <row r="113" spans="2:14" x14ac:dyDescent="0.25">
      <c r="B113" s="5"/>
      <c r="N113" s="6"/>
    </row>
    <row r="114" spans="2:14" x14ac:dyDescent="0.25">
      <c r="B114" s="5"/>
      <c r="N114" s="6"/>
    </row>
    <row r="115" spans="2:14" x14ac:dyDescent="0.25">
      <c r="B115" s="5"/>
      <c r="N115" s="6"/>
    </row>
    <row r="116" spans="2:14" x14ac:dyDescent="0.25">
      <c r="B116" s="5"/>
      <c r="N116" s="6"/>
    </row>
    <row r="117" spans="2:14" x14ac:dyDescent="0.25">
      <c r="B117" s="5"/>
      <c r="N117" s="6"/>
    </row>
    <row r="118" spans="2:14" x14ac:dyDescent="0.25">
      <c r="B118" s="5"/>
      <c r="N118" s="6"/>
    </row>
    <row r="119" spans="2:14" x14ac:dyDescent="0.25">
      <c r="B119" s="5"/>
      <c r="N119" s="6"/>
    </row>
    <row r="120" spans="2:14" x14ac:dyDescent="0.25">
      <c r="B120" s="5"/>
      <c r="N120" s="6"/>
    </row>
    <row r="121" spans="2:14" x14ac:dyDescent="0.25">
      <c r="B121" s="5"/>
      <c r="N121" s="6"/>
    </row>
    <row r="122" spans="2:14" x14ac:dyDescent="0.25">
      <c r="B122" s="5"/>
      <c r="N122" s="6"/>
    </row>
    <row r="123" spans="2:14" x14ac:dyDescent="0.25">
      <c r="B123" s="5"/>
      <c r="N123" s="6"/>
    </row>
    <row r="124" spans="2:14" x14ac:dyDescent="0.25">
      <c r="B124" s="5"/>
      <c r="N124" s="6"/>
    </row>
    <row r="125" spans="2:14" x14ac:dyDescent="0.25">
      <c r="B125" s="5"/>
      <c r="N125" s="6"/>
    </row>
    <row r="126" spans="2:14" x14ac:dyDescent="0.25">
      <c r="B126" s="5"/>
      <c r="N126" s="6"/>
    </row>
    <row r="127" spans="2:14" x14ac:dyDescent="0.25">
      <c r="B127" s="5"/>
      <c r="N127" s="6"/>
    </row>
    <row r="128" spans="2:14" x14ac:dyDescent="0.25">
      <c r="B128" s="5"/>
      <c r="N128" s="6"/>
    </row>
    <row r="129" spans="2:14" x14ac:dyDescent="0.25">
      <c r="B129" s="5"/>
      <c r="N129" s="6"/>
    </row>
    <row r="130" spans="2:14" x14ac:dyDescent="0.25">
      <c r="B130" s="5"/>
      <c r="N130" s="6"/>
    </row>
    <row r="131" spans="2:14" x14ac:dyDescent="0.25">
      <c r="B131" s="5"/>
      <c r="N131" s="6"/>
    </row>
    <row r="132" spans="2:14" x14ac:dyDescent="0.25">
      <c r="B132" s="5"/>
      <c r="N132" s="6"/>
    </row>
    <row r="133" spans="2:14" x14ac:dyDescent="0.25">
      <c r="B133" s="5"/>
      <c r="N133" s="6"/>
    </row>
    <row r="134" spans="2:14" x14ac:dyDescent="0.25">
      <c r="B134" s="5"/>
      <c r="N134" s="6"/>
    </row>
    <row r="135" spans="2:14" x14ac:dyDescent="0.25">
      <c r="B135" s="5"/>
      <c r="N135" s="6"/>
    </row>
    <row r="136" spans="2:14" x14ac:dyDescent="0.25">
      <c r="B136" s="5"/>
      <c r="N136" s="6"/>
    </row>
    <row r="137" spans="2:14" x14ac:dyDescent="0.25">
      <c r="B137" s="5"/>
      <c r="N137" s="6"/>
    </row>
    <row r="138" spans="2:14" x14ac:dyDescent="0.25">
      <c r="B138" s="5"/>
      <c r="N138" s="6"/>
    </row>
    <row r="139" spans="2:14" x14ac:dyDescent="0.25">
      <c r="B139" s="5"/>
      <c r="N139" s="6"/>
    </row>
    <row r="140" spans="2:14" x14ac:dyDescent="0.25">
      <c r="B140" s="5"/>
      <c r="N140" s="6"/>
    </row>
    <row r="141" spans="2:14" x14ac:dyDescent="0.25">
      <c r="B141" s="5"/>
      <c r="N141" s="6"/>
    </row>
    <row r="142" spans="2:14" x14ac:dyDescent="0.25">
      <c r="B142" s="5"/>
      <c r="N142" s="6"/>
    </row>
    <row r="143" spans="2:14" x14ac:dyDescent="0.25">
      <c r="B143" s="5"/>
      <c r="N143" s="6"/>
    </row>
    <row r="144" spans="2:14" x14ac:dyDescent="0.25">
      <c r="B144" s="5"/>
      <c r="N144" s="6"/>
    </row>
    <row r="145" spans="2:14" x14ac:dyDescent="0.25">
      <c r="B145" s="5"/>
      <c r="N145" s="6"/>
    </row>
    <row r="146" spans="2:14" x14ac:dyDescent="0.25">
      <c r="B146" s="5"/>
      <c r="N146" s="6"/>
    </row>
    <row r="147" spans="2:14" x14ac:dyDescent="0.25">
      <c r="B147" s="5"/>
      <c r="N147" s="6"/>
    </row>
    <row r="148" spans="2:14" x14ac:dyDescent="0.25">
      <c r="B148" s="5"/>
      <c r="N148" s="6"/>
    </row>
    <row r="149" spans="2:14" x14ac:dyDescent="0.25">
      <c r="B149" s="5"/>
      <c r="N149" s="6"/>
    </row>
    <row r="150" spans="2:14" x14ac:dyDescent="0.25">
      <c r="B150" s="5"/>
      <c r="N150" s="6"/>
    </row>
    <row r="151" spans="2:14" x14ac:dyDescent="0.25">
      <c r="B151" s="5"/>
      <c r="N151" s="6"/>
    </row>
    <row r="152" spans="2:14" x14ac:dyDescent="0.25">
      <c r="B152" s="5"/>
      <c r="N152" s="6"/>
    </row>
    <row r="153" spans="2:14" x14ac:dyDescent="0.25">
      <c r="B153" s="5"/>
      <c r="N153" s="6"/>
    </row>
    <row r="154" spans="2:14" x14ac:dyDescent="0.25">
      <c r="B154" s="5"/>
      <c r="N154" s="6"/>
    </row>
    <row r="155" spans="2:14" x14ac:dyDescent="0.25">
      <c r="B155" s="5"/>
      <c r="N155" s="6"/>
    </row>
    <row r="156" spans="2:14" x14ac:dyDescent="0.25">
      <c r="B156" s="5"/>
      <c r="N156" s="6"/>
    </row>
    <row r="157" spans="2:14" x14ac:dyDescent="0.25">
      <c r="B157" s="5"/>
      <c r="N157" s="6"/>
    </row>
    <row r="158" spans="2:14" x14ac:dyDescent="0.25">
      <c r="B158" s="5"/>
      <c r="N158" s="6"/>
    </row>
    <row r="159" spans="2:14" x14ac:dyDescent="0.25">
      <c r="B159" s="5"/>
      <c r="N159" s="6"/>
    </row>
    <row r="160" spans="2:14" x14ac:dyDescent="0.25">
      <c r="B160" s="5"/>
      <c r="N160" s="6"/>
    </row>
    <row r="161" spans="2:14" x14ac:dyDescent="0.25">
      <c r="B161" s="5"/>
      <c r="N161" s="6"/>
    </row>
    <row r="162" spans="2:14" x14ac:dyDescent="0.25">
      <c r="B162" s="5"/>
      <c r="N162" s="6"/>
    </row>
    <row r="163" spans="2:14" x14ac:dyDescent="0.25">
      <c r="B163" s="5"/>
      <c r="N163" s="6"/>
    </row>
    <row r="164" spans="2:14" x14ac:dyDescent="0.25">
      <c r="B164" s="5"/>
      <c r="N164" s="6"/>
    </row>
    <row r="165" spans="2:14" x14ac:dyDescent="0.25">
      <c r="B165" s="5"/>
      <c r="N165" s="6"/>
    </row>
    <row r="166" spans="2:14" x14ac:dyDescent="0.25">
      <c r="B166" s="5"/>
      <c r="N166" s="6"/>
    </row>
    <row r="167" spans="2:14" x14ac:dyDescent="0.25">
      <c r="B167" s="5"/>
      <c r="N167" s="6"/>
    </row>
    <row r="168" spans="2:14" x14ac:dyDescent="0.25">
      <c r="B168" s="5"/>
      <c r="N168" s="6"/>
    </row>
    <row r="169" spans="2:14" x14ac:dyDescent="0.25">
      <c r="B169" s="5"/>
      <c r="N169" s="6"/>
    </row>
    <row r="170" spans="2:14" x14ac:dyDescent="0.25">
      <c r="B170" s="5"/>
      <c r="N170" s="6"/>
    </row>
    <row r="171" spans="2:14" x14ac:dyDescent="0.25">
      <c r="B171" s="5"/>
      <c r="N171" s="6"/>
    </row>
    <row r="172" spans="2:14" x14ac:dyDescent="0.25">
      <c r="B172" s="5"/>
      <c r="N172" s="6"/>
    </row>
    <row r="173" spans="2:14" x14ac:dyDescent="0.25">
      <c r="B173" s="5"/>
      <c r="N173" s="6"/>
    </row>
    <row r="174" spans="2:14" x14ac:dyDescent="0.25">
      <c r="B174" s="5"/>
      <c r="N174" s="6"/>
    </row>
    <row r="175" spans="2:14" x14ac:dyDescent="0.25">
      <c r="B175" s="5"/>
      <c r="N175" s="6"/>
    </row>
    <row r="176" spans="2:14" x14ac:dyDescent="0.25">
      <c r="B176" s="5"/>
      <c r="N176" s="6"/>
    </row>
    <row r="177" spans="2:14" x14ac:dyDescent="0.25">
      <c r="B177" s="5"/>
      <c r="N177" s="6"/>
    </row>
    <row r="178" spans="2:14" x14ac:dyDescent="0.25">
      <c r="B178" s="5"/>
      <c r="N178" s="6"/>
    </row>
    <row r="179" spans="2:14" x14ac:dyDescent="0.25">
      <c r="B179" s="5"/>
      <c r="N179" s="6"/>
    </row>
    <row r="180" spans="2:14" x14ac:dyDescent="0.25">
      <c r="B180" s="5"/>
      <c r="N180" s="6"/>
    </row>
    <row r="181" spans="2:14" x14ac:dyDescent="0.25">
      <c r="B181" s="5"/>
      <c r="N181" s="6"/>
    </row>
    <row r="182" spans="2:14" x14ac:dyDescent="0.25">
      <c r="B182" s="5"/>
      <c r="N182" s="6"/>
    </row>
    <row r="183" spans="2:14" x14ac:dyDescent="0.25">
      <c r="B183" s="5"/>
      <c r="N183" s="6"/>
    </row>
    <row r="184" spans="2:14" x14ac:dyDescent="0.25"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2"/>
    </row>
  </sheetData>
  <mergeCells count="9">
    <mergeCell ref="B63:N63"/>
    <mergeCell ref="C78:G78"/>
    <mergeCell ref="I78:M78"/>
    <mergeCell ref="B1:N1"/>
    <mergeCell ref="B10:N10"/>
    <mergeCell ref="C35:E35"/>
    <mergeCell ref="G35:I35"/>
    <mergeCell ref="E60:G60"/>
    <mergeCell ref="I60:K6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2C00-67FB-43A6-9326-7CC8253516F6}">
  <dimension ref="B1:U167"/>
  <sheetViews>
    <sheetView showGridLines="0" zoomScaleNormal="100" workbookViewId="0">
      <pane ySplit="1" topLeftCell="A2" activePane="bottomLeft" state="frozen"/>
      <selection pane="bottomLeft" activeCell="D7" sqref="D7"/>
    </sheetView>
  </sheetViews>
  <sheetFormatPr baseColWidth="10" defaultColWidth="11.42578125" defaultRowHeight="15" x14ac:dyDescent="0.25"/>
  <cols>
    <col min="1" max="1" width="6.42578125" customWidth="1"/>
    <col min="3" max="3" width="17.28515625" customWidth="1"/>
    <col min="4" max="4" width="23.140625" customWidth="1"/>
    <col min="5" max="5" width="21.140625" customWidth="1"/>
    <col min="6" max="6" width="23.57031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  <col min="17" max="17" width="13" bestFit="1" customWidth="1"/>
    <col min="18" max="18" width="10.7109375" bestFit="1" customWidth="1"/>
    <col min="19" max="19" width="9" customWidth="1"/>
    <col min="20" max="20" width="17.42578125" customWidth="1"/>
    <col min="21" max="21" width="13.140625" customWidth="1"/>
    <col min="22" max="22" width="12.28515625" customWidth="1"/>
  </cols>
  <sheetData>
    <row r="1" spans="2:21" ht="58.5" customHeight="1" x14ac:dyDescent="0.25">
      <c r="B1" s="47" t="s">
        <v>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1" ht="2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1" ht="21" customHeight="1" x14ac:dyDescent="0.25">
      <c r="B3" s="5"/>
      <c r="N3" s="6"/>
    </row>
    <row r="4" spans="2:21" ht="21" customHeight="1" x14ac:dyDescent="0.25">
      <c r="B4" s="5"/>
      <c r="N4" s="6"/>
    </row>
    <row r="5" spans="2:21" ht="44.25" customHeight="1" x14ac:dyDescent="0.25">
      <c r="B5" s="5"/>
      <c r="D5" s="23" t="s">
        <v>2</v>
      </c>
      <c r="F5" s="23" t="s">
        <v>4</v>
      </c>
      <c r="L5" s="23" t="s">
        <v>6</v>
      </c>
      <c r="N5" s="6"/>
      <c r="Q5" s="26" t="s">
        <v>7</v>
      </c>
      <c r="R5" s="27">
        <f>EOMONTH(S5,0)</f>
        <v>43861</v>
      </c>
      <c r="S5" s="26" t="str">
        <f>"01/"&amp;"01/"&amp;TEXT(R6,"aaaa")</f>
        <v>01/01/2020</v>
      </c>
      <c r="T5" s="26" t="str">
        <f>MID(S5,7,4)&amp;MID(S5,4,2)&amp;".."&amp;MID(S6,7,4)&amp;MID(S6,4,2)</f>
        <v>202001..202005</v>
      </c>
      <c r="U5" s="26" t="str">
        <f>TEXT(EDATE($L$6,-36),"AAAAMM")&amp;".."&amp;TEXT(EDATE($L$6,0),"AAAAMM")</f>
        <v>201705..202005</v>
      </c>
    </row>
    <row r="6" spans="2:21" ht="26.25" customHeight="1" x14ac:dyDescent="0.25">
      <c r="B6" s="5"/>
      <c r="D6" s="112">
        <f>ACCUEIL!N11</f>
        <v>995002433</v>
      </c>
      <c r="F6" s="13" t="str">
        <f>ACCUEIL!N14</f>
        <v>*</v>
      </c>
      <c r="L6" s="14">
        <f>ACCUEIL!N17</f>
        <v>43982</v>
      </c>
      <c r="N6" s="6"/>
      <c r="Q6" s="26" t="s">
        <v>8</v>
      </c>
      <c r="R6" s="27">
        <f>L6</f>
        <v>43982</v>
      </c>
      <c r="S6" s="26" t="str">
        <f>"01/"&amp;TEXT(R6,"mm")&amp;"/"&amp;TEXT(R6,"aaaa")</f>
        <v>01/05/2020</v>
      </c>
      <c r="T6" s="26"/>
    </row>
    <row r="7" spans="2:21" ht="21" customHeight="1" x14ac:dyDescent="0.25">
      <c r="B7" s="5"/>
      <c r="K7" s="7"/>
      <c r="N7" s="6"/>
    </row>
    <row r="8" spans="2:21" ht="21" customHeight="1" x14ac:dyDescent="0.25">
      <c r="B8" s="5"/>
      <c r="K8" s="7"/>
      <c r="N8" s="6"/>
    </row>
    <row r="9" spans="2:21" ht="21" customHeight="1" x14ac:dyDescent="0.25">
      <c r="B9" s="5"/>
      <c r="K9" s="7"/>
      <c r="N9" s="6"/>
    </row>
    <row r="10" spans="2:21" ht="34.5" customHeight="1" x14ac:dyDescent="0.25">
      <c r="B10" s="69" t="s">
        <v>37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21" ht="17.25" customHeight="1" x14ac:dyDescent="0.25">
      <c r="B11" s="5"/>
      <c r="N11" s="6"/>
    </row>
    <row r="12" spans="2:21" x14ac:dyDescent="0.25">
      <c r="B12" s="5"/>
      <c r="N12" s="6"/>
    </row>
    <row r="13" spans="2:21" ht="15" customHeight="1" x14ac:dyDescent="0.25">
      <c r="B13" s="5"/>
      <c r="D13" s="48">
        <f>_xll.Assistant.XL.RIK_AC("INF54__;INF03@E=1,S=5,G=0,T=0,P=0:@R=A,S=1,V={0}:R=B,S=36,V=FEMME:R=C,S=13,V={1}:R=D,S=14,V={2}:",D$17,$D$6,$F$6)</f>
        <v>15</v>
      </c>
      <c r="E13" s="96">
        <f>IF(D13=0,0,(F13+G13)/2/D13)</f>
        <v>0</v>
      </c>
      <c r="F13" s="102">
        <f>_xll.Assistant.XL.RIK_AC("INF54__;INF03@E=1,S=7,G=0,T=0,P=0:@R=A,S=13,V={0}:R=C,S=14,V={1}:R=D,S=36,V=FEMME:R=D,S=4,V={2}:",$D$6,F$6,$T$5)</f>
        <v>0</v>
      </c>
      <c r="G13" s="53">
        <f>_xll.Assistant.XL.RIK_AC("INF54__;INF03@E=1,S=8,G=0,T=0,P=0:@R=A,S=13,V={0}:R=C,S=14,V={1}:R=D,S=36,V=FEMME:R=D,S=4,V={2}:",$D$6,$F$6,$T$5)</f>
        <v>0</v>
      </c>
      <c r="I13" s="64">
        <f>_xll.Assistant.XL.RIK_AC("INF54__;INF03@E=1,S=5,G=0,T=0,P=0:@R=A,S=1,V={0}:R=B,S=36,V=HOMME:R=C,S=13,V={1}:R=D,S=14,V={2}:",I$17,$D$6,$F$6)</f>
        <v>23</v>
      </c>
      <c r="J13" s="100">
        <f>IF(I13=0,0,(K13+L13)/2/I13)</f>
        <v>6.5217391304347824E-2</v>
      </c>
      <c r="K13" s="108">
        <f>_xll.Assistant.XL.RIK_AC("INF54__;INF03@E=1,S=7,G=0,T=0,P=0:@R=A,S=13,V={0}:R=B,S=14,V={1}:R=C,S=36,V=HOMME:R=D,S=4,V={2}:",$D$6,$F$6,$T$5)</f>
        <v>3</v>
      </c>
      <c r="L13" s="72">
        <f>_xll.Assistant.XL.RIK_AC("INF54__;INF03@E=1,S=8,G=0,T=0,P=0:@R=A,S=13,V={0}:R=B,S=14,V={1}:R=C,S=36,V=HOMME:R=D,S=4,V={2}:",$D$6,$F$6,$T$5)</f>
        <v>0</v>
      </c>
      <c r="N13" s="6"/>
    </row>
    <row r="14" spans="2:21" ht="15" customHeight="1" x14ac:dyDescent="0.25">
      <c r="B14" s="5"/>
      <c r="D14" s="49"/>
      <c r="E14" s="97"/>
      <c r="F14" s="103"/>
      <c r="G14" s="54"/>
      <c r="I14" s="65"/>
      <c r="J14" s="101"/>
      <c r="K14" s="109"/>
      <c r="L14" s="73"/>
      <c r="N14" s="6"/>
    </row>
    <row r="15" spans="2:21" ht="15" customHeight="1" x14ac:dyDescent="0.25">
      <c r="B15" s="5"/>
      <c r="D15" s="49"/>
      <c r="E15" s="97"/>
      <c r="F15" s="103"/>
      <c r="G15" s="54"/>
      <c r="I15" s="65"/>
      <c r="J15" s="101"/>
      <c r="K15" s="109"/>
      <c r="L15" s="73"/>
      <c r="N15" s="6"/>
    </row>
    <row r="16" spans="2:21" ht="17.25" customHeight="1" x14ac:dyDescent="0.25">
      <c r="B16" s="5"/>
      <c r="D16" s="19" t="s">
        <v>10</v>
      </c>
      <c r="E16" s="94" t="s">
        <v>27</v>
      </c>
      <c r="F16" s="104" t="s">
        <v>38</v>
      </c>
      <c r="G16" s="104" t="s">
        <v>39</v>
      </c>
      <c r="I16" s="17" t="s">
        <v>11</v>
      </c>
      <c r="J16" s="98" t="s">
        <v>27</v>
      </c>
      <c r="K16" s="110" t="s">
        <v>38</v>
      </c>
      <c r="L16" s="106" t="s">
        <v>39</v>
      </c>
      <c r="N16" s="6"/>
    </row>
    <row r="17" spans="2:14" ht="17.25" customHeight="1" x14ac:dyDescent="0.25">
      <c r="B17" s="5"/>
      <c r="D17" s="20">
        <f>L6</f>
        <v>43982</v>
      </c>
      <c r="E17" s="95"/>
      <c r="F17" s="105"/>
      <c r="G17" s="105"/>
      <c r="I17" s="40">
        <f>$L$6</f>
        <v>43982</v>
      </c>
      <c r="J17" s="99"/>
      <c r="K17" s="111"/>
      <c r="L17" s="107"/>
      <c r="N17" s="6"/>
    </row>
    <row r="18" spans="2:14" x14ac:dyDescent="0.25">
      <c r="B18" s="5"/>
      <c r="D18" s="55" t="s">
        <v>12</v>
      </c>
      <c r="E18" s="56"/>
      <c r="F18" s="56"/>
      <c r="G18" s="57"/>
      <c r="I18" s="74" t="s">
        <v>13</v>
      </c>
      <c r="J18" s="75"/>
      <c r="K18" s="75"/>
      <c r="L18" s="76"/>
      <c r="N18" s="6"/>
    </row>
    <row r="19" spans="2:14" x14ac:dyDescent="0.25">
      <c r="B19" s="5"/>
      <c r="D19" s="58"/>
      <c r="E19" s="59"/>
      <c r="F19" s="59"/>
      <c r="G19" s="60"/>
      <c r="I19" s="77"/>
      <c r="J19" s="78"/>
      <c r="K19" s="78"/>
      <c r="L19" s="79"/>
      <c r="N19" s="6"/>
    </row>
    <row r="20" spans="2:14" x14ac:dyDescent="0.25">
      <c r="B20" s="5"/>
      <c r="D20" s="61"/>
      <c r="E20" s="62"/>
      <c r="F20" s="62"/>
      <c r="G20" s="63"/>
      <c r="I20" s="80"/>
      <c r="J20" s="81"/>
      <c r="K20" s="81"/>
      <c r="L20" s="82"/>
      <c r="N20" s="6"/>
    </row>
    <row r="21" spans="2:14" x14ac:dyDescent="0.25">
      <c r="B21" s="5"/>
      <c r="N21" s="6"/>
    </row>
    <row r="22" spans="2:14" x14ac:dyDescent="0.25">
      <c r="B22" s="5"/>
      <c r="D22" t="str">
        <f>_xll.Assistant.XL.RIK_AG("INF54_0_0_0_0_0_0_D=0x0;INF03@E=0,S=4,G=0,T=0_0,P=-1@E=1,S=5@@@R=A,S=4,V={0}:R=B,S=13,V={1}:R=C,S=14,V={2}:R=D,S=36,V=FEMME:",$U$5,$D$6,$F$6)</f>
        <v/>
      </c>
      <c r="I22" t="str">
        <f>_xll.Assistant.XL.RIK_AG("INF54_0_0_0_0_0_0_D=0x0;INF03@E=0,S=4,G=0,T=0_0,P=-1@E=1,S=5@@@R=A,S=4,V={0}:R=B,S=13,V={1}:R=C,S=14,V={2}:R=D,S=36,V=HOMME:",$T$5,$D$6,$F$6)</f>
        <v/>
      </c>
      <c r="N22" s="6"/>
    </row>
    <row r="23" spans="2:14" x14ac:dyDescent="0.25">
      <c r="B23" s="5"/>
      <c r="F23" s="8"/>
      <c r="N23" s="6"/>
    </row>
    <row r="24" spans="2:14" x14ac:dyDescent="0.25">
      <c r="B24" s="5"/>
      <c r="N24" s="6"/>
    </row>
    <row r="25" spans="2:14" x14ac:dyDescent="0.25">
      <c r="B25" s="5"/>
      <c r="N25" s="6"/>
    </row>
    <row r="26" spans="2:14" x14ac:dyDescent="0.25">
      <c r="B26" s="5"/>
      <c r="N26" s="6"/>
    </row>
    <row r="27" spans="2:14" x14ac:dyDescent="0.25">
      <c r="B27" s="5"/>
      <c r="N27" s="6"/>
    </row>
    <row r="28" spans="2:14" x14ac:dyDescent="0.25">
      <c r="B28" s="5"/>
      <c r="N28" s="6"/>
    </row>
    <row r="29" spans="2:14" x14ac:dyDescent="0.25">
      <c r="B29" s="5"/>
      <c r="N29" s="6"/>
    </row>
    <row r="30" spans="2:14" x14ac:dyDescent="0.25">
      <c r="B30" s="5"/>
      <c r="N30" s="6"/>
    </row>
    <row r="31" spans="2:14" x14ac:dyDescent="0.25">
      <c r="B31" s="5"/>
      <c r="D31" s="9"/>
      <c r="E31" s="8"/>
      <c r="N31" s="6"/>
    </row>
    <row r="32" spans="2:14" x14ac:dyDescent="0.25">
      <c r="B32" s="5"/>
      <c r="N32" s="6"/>
    </row>
    <row r="33" spans="2:14" x14ac:dyDescent="0.25">
      <c r="B33" s="5"/>
      <c r="N33" s="6"/>
    </row>
    <row r="34" spans="2:14" x14ac:dyDescent="0.25">
      <c r="B34" s="5"/>
      <c r="N34" s="6"/>
    </row>
    <row r="35" spans="2:14" x14ac:dyDescent="0.25">
      <c r="B35" s="5"/>
      <c r="N35" s="6"/>
    </row>
    <row r="36" spans="2:14" x14ac:dyDescent="0.25">
      <c r="B36" s="5"/>
      <c r="N36" s="6"/>
    </row>
    <row r="37" spans="2:14" x14ac:dyDescent="0.25">
      <c r="B37" s="5"/>
      <c r="N37" s="6"/>
    </row>
    <row r="38" spans="2:14" x14ac:dyDescent="0.25">
      <c r="B38" s="5"/>
      <c r="N38" s="6"/>
    </row>
    <row r="39" spans="2:14" x14ac:dyDescent="0.25">
      <c r="B39" s="5"/>
      <c r="N39" s="6"/>
    </row>
    <row r="40" spans="2:14" x14ac:dyDescent="0.25">
      <c r="B40" s="5"/>
      <c r="N40" s="6"/>
    </row>
    <row r="41" spans="2:14" x14ac:dyDescent="0.25">
      <c r="B41" s="5"/>
      <c r="N41" s="6"/>
    </row>
    <row r="42" spans="2:14" x14ac:dyDescent="0.25">
      <c r="B42" s="5"/>
      <c r="N42" s="6"/>
    </row>
    <row r="43" spans="2:14" x14ac:dyDescent="0.25">
      <c r="B43" s="5"/>
      <c r="N43" s="6"/>
    </row>
    <row r="44" spans="2:14" x14ac:dyDescent="0.25">
      <c r="B44" s="5"/>
      <c r="N44" s="6"/>
    </row>
    <row r="45" spans="2:14" ht="34.5" customHeight="1" x14ac:dyDescent="0.25">
      <c r="B45" s="69" t="s">
        <v>40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</row>
    <row r="46" spans="2:14" x14ac:dyDescent="0.25">
      <c r="B46" s="5"/>
      <c r="N46" s="6"/>
    </row>
    <row r="47" spans="2:14" x14ac:dyDescent="0.25">
      <c r="B47" s="5"/>
      <c r="N47" s="6"/>
    </row>
    <row r="48" spans="2:14" x14ac:dyDescent="0.25">
      <c r="B48" s="5"/>
      <c r="N48" s="6"/>
    </row>
    <row r="49" spans="2:14" x14ac:dyDescent="0.25">
      <c r="B49" s="5"/>
      <c r="D49" t="str">
        <f>_xll.Assistant.XL.RIK_AG("INF54_0_0_0_0_0_0_D=0x0;INF03@E=0,S=4,G=0,T=0_0,P=-1@E=1,S=5@E=0,S=36,G=0,T=0_0,P=-1@@R=A,S=4,V={0}:R=B,S=13,V={1}:R=C,S=14,V={2}:",$U$5,$D$6,$F$6)</f>
        <v/>
      </c>
      <c r="N49" s="6"/>
    </row>
    <row r="50" spans="2:14" x14ac:dyDescent="0.25">
      <c r="B50" s="5"/>
      <c r="N50" s="6"/>
    </row>
    <row r="51" spans="2:14" x14ac:dyDescent="0.25">
      <c r="B51" s="5"/>
      <c r="N51" s="6"/>
    </row>
    <row r="52" spans="2:14" x14ac:dyDescent="0.25">
      <c r="B52" s="5"/>
      <c r="N52" s="6"/>
    </row>
    <row r="53" spans="2:14" x14ac:dyDescent="0.25">
      <c r="B53" s="5"/>
      <c r="N53" s="6"/>
    </row>
    <row r="54" spans="2:14" x14ac:dyDescent="0.25">
      <c r="B54" s="5"/>
      <c r="N54" s="6"/>
    </row>
    <row r="55" spans="2:14" x14ac:dyDescent="0.25">
      <c r="B55" s="5"/>
      <c r="N55" s="6"/>
    </row>
    <row r="56" spans="2:14" x14ac:dyDescent="0.25">
      <c r="B56" s="5"/>
      <c r="N56" s="6"/>
    </row>
    <row r="57" spans="2:14" x14ac:dyDescent="0.25">
      <c r="B57" s="5"/>
      <c r="N57" s="6"/>
    </row>
    <row r="58" spans="2:14" x14ac:dyDescent="0.25">
      <c r="B58" s="5"/>
      <c r="N58" s="6"/>
    </row>
    <row r="59" spans="2:14" x14ac:dyDescent="0.25">
      <c r="B59" s="5"/>
      <c r="N59" s="6"/>
    </row>
    <row r="60" spans="2:14" x14ac:dyDescent="0.25">
      <c r="B60" s="5"/>
      <c r="N60" s="6"/>
    </row>
    <row r="61" spans="2:14" x14ac:dyDescent="0.25">
      <c r="B61" s="5"/>
      <c r="N61" s="6"/>
    </row>
    <row r="62" spans="2:14" ht="27" customHeight="1" x14ac:dyDescent="0.25">
      <c r="B62" s="5"/>
      <c r="N62" s="6"/>
    </row>
    <row r="63" spans="2:14" ht="34.5" customHeight="1" x14ac:dyDescent="0.25">
      <c r="B63" s="69" t="s">
        <v>15</v>
      </c>
      <c r="C63" s="70"/>
      <c r="D63" s="70"/>
      <c r="E63" s="70"/>
      <c r="F63" s="70"/>
      <c r="G63" s="70"/>
      <c r="I63" s="69" t="s">
        <v>16</v>
      </c>
      <c r="J63" s="70"/>
      <c r="K63" s="70"/>
      <c r="L63" s="70"/>
      <c r="M63" s="70"/>
      <c r="N63" s="71"/>
    </row>
    <row r="64" spans="2:14" x14ac:dyDescent="0.25">
      <c r="B64" s="5"/>
      <c r="N64" s="6"/>
    </row>
    <row r="65" spans="2:14" x14ac:dyDescent="0.25">
      <c r="B65" s="5"/>
      <c r="N65" s="6"/>
    </row>
    <row r="66" spans="2:14" x14ac:dyDescent="0.25">
      <c r="B66" s="5"/>
      <c r="C66" t="str">
        <f>_xll.Assistant.XL.RIK_AG("INF54_0_0_0_0_0_0_D=0x0;INF03@E=0,S=40,G=0,T=0_0,P=-1@E=1,S=5@E=0,S=36,G=0,T=0_0,P=-1@@R=A,S=13,V={0}:R=B,S=14,V={1}:R=D,S=1,V={2}:",$D$6,$F$6,$L$6)</f>
        <v/>
      </c>
      <c r="N66" s="6"/>
    </row>
    <row r="67" spans="2:14" x14ac:dyDescent="0.25">
      <c r="B67" s="5"/>
      <c r="I67" t="str">
        <f>_xll.Assistant.XL.RIK_AG("INF54_0_0_0_0_0_0_D=0x0;INF03@E=0,S=47,G=0,T=0_0,P=-1@E=1,S=5@E=0,S=36,G=0,T=0_0,P=-1@@R=A,S=13,V={0}:R=B,S=14,V={1}:R=C,S=1,V={2}:",$D$6,$F$6,$L$6)</f>
        <v/>
      </c>
      <c r="N67" s="6"/>
    </row>
    <row r="68" spans="2:14" x14ac:dyDescent="0.25">
      <c r="B68" s="5"/>
      <c r="N68" s="6"/>
    </row>
    <row r="69" spans="2:14" x14ac:dyDescent="0.25">
      <c r="B69" s="5"/>
      <c r="N69" s="6"/>
    </row>
    <row r="70" spans="2:14" x14ac:dyDescent="0.25">
      <c r="B70" s="5"/>
      <c r="N70" s="6"/>
    </row>
    <row r="71" spans="2:14" x14ac:dyDescent="0.25">
      <c r="B71" s="5"/>
      <c r="N71" s="6"/>
    </row>
    <row r="72" spans="2:14" x14ac:dyDescent="0.25">
      <c r="B72" s="5"/>
      <c r="N72" s="6"/>
    </row>
    <row r="73" spans="2:14" x14ac:dyDescent="0.25">
      <c r="B73" s="5"/>
      <c r="N73" s="6"/>
    </row>
    <row r="74" spans="2:14" x14ac:dyDescent="0.25">
      <c r="B74" s="5"/>
      <c r="N74" s="6"/>
    </row>
    <row r="75" spans="2:14" x14ac:dyDescent="0.25">
      <c r="B75" s="5"/>
      <c r="N75" s="6"/>
    </row>
    <row r="76" spans="2:14" x14ac:dyDescent="0.25">
      <c r="B76" s="5"/>
      <c r="N76" s="6"/>
    </row>
    <row r="77" spans="2:14" x14ac:dyDescent="0.25">
      <c r="B77" s="5"/>
      <c r="N77" s="6"/>
    </row>
    <row r="78" spans="2:14" x14ac:dyDescent="0.25">
      <c r="B78" s="5"/>
      <c r="N78" s="6"/>
    </row>
    <row r="79" spans="2:14" x14ac:dyDescent="0.25">
      <c r="B79" s="5"/>
      <c r="N79" s="6"/>
    </row>
    <row r="80" spans="2:14" x14ac:dyDescent="0.25">
      <c r="B80" s="5"/>
      <c r="N80" s="6"/>
    </row>
    <row r="81" spans="2:14" x14ac:dyDescent="0.25">
      <c r="B81" s="5"/>
      <c r="N81" s="6"/>
    </row>
    <row r="82" spans="2:14" x14ac:dyDescent="0.25">
      <c r="B82" s="5"/>
      <c r="N82" s="6"/>
    </row>
    <row r="83" spans="2:14" x14ac:dyDescent="0.25">
      <c r="B83" s="5"/>
      <c r="N83" s="6"/>
    </row>
    <row r="84" spans="2:14" x14ac:dyDescent="0.25">
      <c r="B84" s="5"/>
      <c r="N84" s="6"/>
    </row>
    <row r="85" spans="2:14" x14ac:dyDescent="0.25">
      <c r="B85" s="5"/>
      <c r="N85" s="6"/>
    </row>
    <row r="86" spans="2:14" x14ac:dyDescent="0.25">
      <c r="B86" s="5"/>
      <c r="N86" s="6"/>
    </row>
    <row r="87" spans="2:14" x14ac:dyDescent="0.25">
      <c r="B87" s="5"/>
      <c r="N87" s="6"/>
    </row>
    <row r="88" spans="2:14" x14ac:dyDescent="0.25">
      <c r="B88" s="5"/>
      <c r="N88" s="6"/>
    </row>
    <row r="89" spans="2:14" x14ac:dyDescent="0.25">
      <c r="B89" s="5"/>
      <c r="N89" s="6"/>
    </row>
    <row r="90" spans="2:14" ht="34.5" customHeight="1" x14ac:dyDescent="0.25">
      <c r="B90" s="69" t="s">
        <v>41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</row>
    <row r="91" spans="2:14" x14ac:dyDescent="0.25">
      <c r="B91" s="5"/>
      <c r="N91" s="6"/>
    </row>
    <row r="92" spans="2:14" x14ac:dyDescent="0.25">
      <c r="B92" s="5"/>
      <c r="N92" s="6"/>
    </row>
    <row r="93" spans="2:14" x14ac:dyDescent="0.25">
      <c r="B93" s="5"/>
      <c r="N93" s="6"/>
    </row>
    <row r="94" spans="2:14" x14ac:dyDescent="0.25">
      <c r="B94" s="5"/>
      <c r="N94" s="6"/>
    </row>
    <row r="95" spans="2:14" x14ac:dyDescent="0.25">
      <c r="B95" s="5"/>
      <c r="N95" s="6"/>
    </row>
    <row r="96" spans="2:14" x14ac:dyDescent="0.25">
      <c r="B96" s="5"/>
      <c r="D96" t="str">
        <f>_xll.Assistant.XL.RIK_AG("INF54_0_0_0_0_0_0_D=0x0;INF02@E=0,S=2,G=0,T=0_0,P=-1@E=3,S=7@E=0,S=1|8,G=0,T=0_0,P=-1@@R=A,S=1,V={0}:R=B,S=2,V={1}:R=A,S=6,V=Rémunération brute non plafonnée:R=B,S=13,V={2}:",$D$6,$F$6,$T$5)</f>
        <v/>
      </c>
      <c r="N96" s="6"/>
    </row>
    <row r="97" spans="2:14" x14ac:dyDescent="0.25">
      <c r="B97" s="5"/>
      <c r="N97" s="6"/>
    </row>
    <row r="98" spans="2:14" x14ac:dyDescent="0.25">
      <c r="B98" s="5"/>
      <c r="N98" s="6"/>
    </row>
    <row r="99" spans="2:14" x14ac:dyDescent="0.25">
      <c r="B99" s="5"/>
      <c r="N99" s="6"/>
    </row>
    <row r="100" spans="2:14" x14ac:dyDescent="0.25">
      <c r="B100" s="5"/>
      <c r="N100" s="6"/>
    </row>
    <row r="101" spans="2:14" x14ac:dyDescent="0.25">
      <c r="B101" s="5"/>
      <c r="N101" s="6"/>
    </row>
    <row r="102" spans="2:14" x14ac:dyDescent="0.25">
      <c r="B102" s="5"/>
      <c r="N102" s="6"/>
    </row>
    <row r="103" spans="2:14" x14ac:dyDescent="0.25">
      <c r="B103" s="5"/>
      <c r="N103" s="6"/>
    </row>
    <row r="104" spans="2:14" x14ac:dyDescent="0.25">
      <c r="B104" s="5"/>
      <c r="N104" s="6"/>
    </row>
    <row r="105" spans="2:14" x14ac:dyDescent="0.25">
      <c r="B105" s="5"/>
      <c r="N105" s="6"/>
    </row>
    <row r="106" spans="2:14" x14ac:dyDescent="0.25">
      <c r="B106" s="5"/>
      <c r="N106" s="6"/>
    </row>
    <row r="107" spans="2:14" x14ac:dyDescent="0.25">
      <c r="B107" s="5"/>
      <c r="N107" s="6"/>
    </row>
    <row r="108" spans="2:14" x14ac:dyDescent="0.25">
      <c r="B108" s="5"/>
      <c r="N108" s="6"/>
    </row>
    <row r="109" spans="2:14" x14ac:dyDescent="0.25">
      <c r="B109" s="5"/>
      <c r="N109" s="6"/>
    </row>
    <row r="110" spans="2:14" x14ac:dyDescent="0.25">
      <c r="B110" s="5"/>
      <c r="N110" s="6"/>
    </row>
    <row r="111" spans="2:14" x14ac:dyDescent="0.25">
      <c r="B111" s="5"/>
      <c r="N111" s="6"/>
    </row>
    <row r="112" spans="2:14" x14ac:dyDescent="0.25">
      <c r="B112" s="5"/>
      <c r="N112" s="6"/>
    </row>
    <row r="113" spans="2:14" x14ac:dyDescent="0.25">
      <c r="B113" s="5"/>
      <c r="N113" s="6"/>
    </row>
    <row r="114" spans="2:14" ht="31.5" customHeight="1" x14ac:dyDescent="0.25">
      <c r="B114" s="5"/>
      <c r="N114" s="6"/>
    </row>
    <row r="115" spans="2:14" ht="34.5" customHeight="1" x14ac:dyDescent="0.25">
      <c r="B115" s="69" t="s">
        <v>18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1"/>
    </row>
    <row r="116" spans="2:14" x14ac:dyDescent="0.25">
      <c r="B116" s="5"/>
      <c r="N116" s="6"/>
    </row>
    <row r="117" spans="2:14" x14ac:dyDescent="0.25">
      <c r="B117" s="5"/>
      <c r="N117" s="6"/>
    </row>
    <row r="118" spans="2:14" x14ac:dyDescent="0.25">
      <c r="B118" s="5"/>
      <c r="N118" s="6"/>
    </row>
    <row r="119" spans="2:14" x14ac:dyDescent="0.25">
      <c r="B119" s="5"/>
      <c r="N119" s="6"/>
    </row>
    <row r="120" spans="2:14" x14ac:dyDescent="0.25">
      <c r="B120" s="5"/>
      <c r="D120" t="str">
        <f>_xll.Assistant.XL.RIK_AG("INF54_0_0_0_0_0_0_D=0x0;INF03@E=0,S=27,G=0,T=0_0,P=-1@E=1,S=5@@@R=A,S=1,V={0}:R=B,S=36,V=FEMME:R=A,S=13,V={1}:R=B,S=14,V={2}:",$L$6,$D$6,$F$6)</f>
        <v/>
      </c>
      <c r="I120" t="str">
        <f>_xll.Assistant.XL.RIK_AG("INF54_0_0_0_0_0_0_D=0x0;INF03@E=0,S=27,G=0,T=0_0,P=-1@E=1,S=5@@@R=A,S=1,V={0}:R=B,S=36,V=HOMME:R=A,S=13,V={1}:R=B,S=14,V={2}:",$L$6,$D$6,$F$6)</f>
        <v/>
      </c>
      <c r="N120" s="6"/>
    </row>
    <row r="121" spans="2:14" x14ac:dyDescent="0.25">
      <c r="B121" s="5"/>
      <c r="N121" s="6"/>
    </row>
    <row r="122" spans="2:14" x14ac:dyDescent="0.25">
      <c r="B122" s="5"/>
      <c r="N122" s="6"/>
    </row>
    <row r="123" spans="2:14" x14ac:dyDescent="0.25">
      <c r="B123" s="5"/>
      <c r="N123" s="6"/>
    </row>
    <row r="124" spans="2:14" x14ac:dyDescent="0.25">
      <c r="B124" s="5"/>
      <c r="N124" s="6"/>
    </row>
    <row r="125" spans="2:14" x14ac:dyDescent="0.25">
      <c r="B125" s="5"/>
      <c r="N125" s="6"/>
    </row>
    <row r="126" spans="2:14" x14ac:dyDescent="0.25">
      <c r="B126" s="5"/>
      <c r="N126" s="6"/>
    </row>
    <row r="127" spans="2:14" x14ac:dyDescent="0.25">
      <c r="B127" s="5"/>
      <c r="N127" s="6"/>
    </row>
    <row r="128" spans="2:14" x14ac:dyDescent="0.25">
      <c r="B128" s="5"/>
      <c r="N128" s="6"/>
    </row>
    <row r="129" spans="2:14" x14ac:dyDescent="0.25">
      <c r="B129" s="5"/>
      <c r="N129" s="6"/>
    </row>
    <row r="130" spans="2:14" x14ac:dyDescent="0.25">
      <c r="B130" s="5"/>
      <c r="N130" s="6"/>
    </row>
    <row r="131" spans="2:14" x14ac:dyDescent="0.25">
      <c r="B131" s="5"/>
      <c r="N131" s="6"/>
    </row>
    <row r="132" spans="2:14" x14ac:dyDescent="0.25">
      <c r="B132" s="5"/>
      <c r="N132" s="6"/>
    </row>
    <row r="133" spans="2:14" x14ac:dyDescent="0.25">
      <c r="B133" s="5"/>
      <c r="N133" s="6"/>
    </row>
    <row r="134" spans="2:14" x14ac:dyDescent="0.25">
      <c r="B134" s="5"/>
      <c r="N134" s="6"/>
    </row>
    <row r="135" spans="2:14" x14ac:dyDescent="0.25">
      <c r="B135" s="5"/>
      <c r="N135" s="6"/>
    </row>
    <row r="136" spans="2:14" x14ac:dyDescent="0.25">
      <c r="B136" s="5"/>
      <c r="N136" s="6"/>
    </row>
    <row r="137" spans="2:14" x14ac:dyDescent="0.25">
      <c r="B137" s="5"/>
      <c r="N137" s="6"/>
    </row>
    <row r="138" spans="2:14" x14ac:dyDescent="0.25">
      <c r="B138" s="5"/>
      <c r="N138" s="6"/>
    </row>
    <row r="139" spans="2:14" x14ac:dyDescent="0.25">
      <c r="B139" s="5"/>
      <c r="N139" s="6"/>
    </row>
    <row r="140" spans="2:14" x14ac:dyDescent="0.25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2"/>
    </row>
    <row r="141" spans="2:14" ht="34.5" customHeight="1" x14ac:dyDescent="0.25">
      <c r="B141" s="69" t="s">
        <v>42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  <row r="142" spans="2:14" x14ac:dyDescent="0.25">
      <c r="B142" s="5"/>
      <c r="N142" s="6"/>
    </row>
    <row r="143" spans="2:14" x14ac:dyDescent="0.25">
      <c r="B143" s="5"/>
      <c r="N143" s="6"/>
    </row>
    <row r="144" spans="2:14" x14ac:dyDescent="0.25">
      <c r="B144" s="5"/>
      <c r="N144" s="6"/>
    </row>
    <row r="145" spans="2:14" x14ac:dyDescent="0.25">
      <c r="B145" s="5"/>
      <c r="D145" t="str">
        <f>_xll.Assistant.XL.RIK_AG("INF54_0_0_0_0_0_0_D=0x0;INF02@E=0,S=13,G=0,T=0_0,P=-1@E=1,S=8@E=0,S=1|8,G=0,T=0_0,P=-1@@R=A,S=1,V={0}:R=B,S=2,V={1}:R=C,S=6,V=Heures supplémentaires exonérées..Heures supplémentaires structurelles:R=D,S=13,V={2}:",$D$6,$F$6,$T$5)</f>
        <v/>
      </c>
      <c r="N145" s="6"/>
    </row>
    <row r="146" spans="2:14" x14ac:dyDescent="0.25">
      <c r="B146" s="5"/>
      <c r="N146" s="6"/>
    </row>
    <row r="147" spans="2:14" x14ac:dyDescent="0.25">
      <c r="B147" s="5"/>
      <c r="N147" s="6"/>
    </row>
    <row r="148" spans="2:14" x14ac:dyDescent="0.25">
      <c r="B148" s="5"/>
      <c r="N148" s="6"/>
    </row>
    <row r="149" spans="2:14" x14ac:dyDescent="0.25">
      <c r="B149" s="5"/>
      <c r="N149" s="6"/>
    </row>
    <row r="150" spans="2:14" x14ac:dyDescent="0.25">
      <c r="B150" s="5"/>
      <c r="N150" s="6"/>
    </row>
    <row r="151" spans="2:14" x14ac:dyDescent="0.25">
      <c r="B151" s="5"/>
      <c r="N151" s="6"/>
    </row>
    <row r="152" spans="2:14" x14ac:dyDescent="0.25">
      <c r="B152" s="5"/>
      <c r="N152" s="6"/>
    </row>
    <row r="153" spans="2:14" x14ac:dyDescent="0.25">
      <c r="B153" s="5"/>
      <c r="N153" s="6"/>
    </row>
    <row r="154" spans="2:14" x14ac:dyDescent="0.25">
      <c r="B154" s="5"/>
      <c r="N154" s="6"/>
    </row>
    <row r="155" spans="2:14" x14ac:dyDescent="0.25">
      <c r="B155" s="5"/>
      <c r="N155" s="6"/>
    </row>
    <row r="156" spans="2:14" x14ac:dyDescent="0.25">
      <c r="B156" s="5"/>
      <c r="N156" s="6"/>
    </row>
    <row r="157" spans="2:14" x14ac:dyDescent="0.25">
      <c r="B157" s="5"/>
      <c r="N157" s="6"/>
    </row>
    <row r="158" spans="2:14" x14ac:dyDescent="0.25">
      <c r="B158" s="5"/>
      <c r="N158" s="6"/>
    </row>
    <row r="159" spans="2:14" x14ac:dyDescent="0.25">
      <c r="B159" s="5"/>
      <c r="N159" s="6"/>
    </row>
    <row r="160" spans="2:14" x14ac:dyDescent="0.25">
      <c r="B160" s="5"/>
      <c r="N160" s="6"/>
    </row>
    <row r="161" spans="2:14" x14ac:dyDescent="0.25">
      <c r="B161" s="5"/>
      <c r="N161" s="6"/>
    </row>
    <row r="162" spans="2:14" x14ac:dyDescent="0.25">
      <c r="B162" s="5"/>
      <c r="N162" s="6"/>
    </row>
    <row r="163" spans="2:14" x14ac:dyDescent="0.25">
      <c r="B163" s="5"/>
      <c r="N163" s="6"/>
    </row>
    <row r="164" spans="2:14" x14ac:dyDescent="0.25">
      <c r="B164" s="5"/>
      <c r="N164" s="6"/>
    </row>
    <row r="165" spans="2:14" x14ac:dyDescent="0.25">
      <c r="B165" s="5"/>
      <c r="N165" s="6"/>
    </row>
    <row r="166" spans="2:14" x14ac:dyDescent="0.25">
      <c r="B166" s="5"/>
      <c r="N166" s="6"/>
    </row>
    <row r="167" spans="2:14" x14ac:dyDescent="0.25"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2"/>
    </row>
  </sheetData>
  <mergeCells count="24">
    <mergeCell ref="B90:N90"/>
    <mergeCell ref="B1:N1"/>
    <mergeCell ref="B10:N10"/>
    <mergeCell ref="D13:D15"/>
    <mergeCell ref="G13:G15"/>
    <mergeCell ref="I13:I15"/>
    <mergeCell ref="L13:L15"/>
    <mergeCell ref="K16:K17"/>
    <mergeCell ref="B141:N141"/>
    <mergeCell ref="B115:N115"/>
    <mergeCell ref="E16:E17"/>
    <mergeCell ref="E13:E15"/>
    <mergeCell ref="J16:J17"/>
    <mergeCell ref="J13:J15"/>
    <mergeCell ref="F13:F15"/>
    <mergeCell ref="F16:F17"/>
    <mergeCell ref="G16:G17"/>
    <mergeCell ref="L16:L17"/>
    <mergeCell ref="K13:K15"/>
    <mergeCell ref="D18:G20"/>
    <mergeCell ref="I18:L20"/>
    <mergeCell ref="B45:N45"/>
    <mergeCell ref="B63:G63"/>
    <mergeCell ref="I63:N6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6AFB0-A1D5-4F34-B0FF-40EF90149FAB}">
  <dimension ref="A1:D3"/>
  <sheetViews>
    <sheetView workbookViewId="0"/>
  </sheetViews>
  <sheetFormatPr baseColWidth="10" defaultRowHeight="15" x14ac:dyDescent="0.25"/>
  <sheetData>
    <row r="1" spans="1:4" ht="409.5" x14ac:dyDescent="0.25">
      <c r="A1" s="1" t="s">
        <v>43</v>
      </c>
      <c r="B1" s="1" t="s">
        <v>83</v>
      </c>
      <c r="C1" s="1" t="s">
        <v>84</v>
      </c>
      <c r="D1" s="1" t="s">
        <v>85</v>
      </c>
    </row>
    <row r="2" spans="1:4" ht="195" x14ac:dyDescent="0.25">
      <c r="A2" s="1" t="s">
        <v>44</v>
      </c>
    </row>
    <row r="3" spans="1:4" ht="225" x14ac:dyDescent="0.25">
      <c r="A3" s="1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2" ma:contentTypeDescription="Create a new document." ma:contentTypeScope="" ma:versionID="2e202d0b774bbbb181f691fd1de2835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2e49521084259500d3dae6f0d06faffc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F68B62-4AF6-44E6-BDD3-72FAD1D6B2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8C6499-7287-4C29-A8A5-BC7C4E983102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3.xml><?xml version="1.0" encoding="utf-8"?>
<ds:datastoreItem xmlns:ds="http://schemas.openxmlformats.org/officeDocument/2006/customXml" ds:itemID="{F99D74C8-A1A3-4A73-91D1-29D88F6D0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EFFECTIFS</vt:lpstr>
      <vt:lpstr>ÉVOLUTION</vt:lpstr>
      <vt:lpstr>RÉMUNÉRATIONS</vt:lpstr>
      <vt:lpstr>ÉGALITÉ PROFESSIONNELLE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QUEMARD</dc:creator>
  <cp:keywords/>
  <dc:description/>
  <cp:lastModifiedBy>Anthony TARLE</cp:lastModifiedBy>
  <cp:revision/>
  <dcterms:created xsi:type="dcterms:W3CDTF">2021-11-08T13:09:52Z</dcterms:created>
  <dcterms:modified xsi:type="dcterms:W3CDTF">2022-02-25T14:46:23Z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